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4955" windowHeight="8700" tabRatio="835" activeTab="1"/>
  </bookViews>
  <sheets>
    <sheet name="Dateneingabe" sheetId="1" r:id="rId1"/>
    <sheet name="Berechnung" sheetId="2" r:id="rId2"/>
    <sheet name="Korrektur" sheetId="3" r:id="rId3"/>
    <sheet name="Hilfe" sheetId="4" r:id="rId4"/>
  </sheets>
  <externalReferences>
    <externalReference r:id="rId7"/>
  </externalReferences>
  <definedNames>
    <definedName name="Afa">#REF!</definedName>
    <definedName name="Afa\Jahr">#REF!</definedName>
    <definedName name="AJ">#REF!</definedName>
    <definedName name="aktJ">#REF!</definedName>
    <definedName name="AV">#REF!</definedName>
    <definedName name="AW">#REF!</definedName>
    <definedName name="Betriebsstunden\Jahr">#REF!</definedName>
    <definedName name="bND">#REF!</definedName>
    <definedName name="_xlnm.Print_Area" localSheetId="1">'Berechnung'!$A$1:$T$71</definedName>
    <definedName name="_xlnm.Print_Area" localSheetId="0">'Dateneingabe'!$A$1:$G$39</definedName>
    <definedName name="_xlnm.Print_Area" localSheetId="3">'Hilfe'!$A$1:$AC$112</definedName>
    <definedName name="_xlnm.Print_Area" localSheetId="2">'Korrektur'!$A$1:$L$90</definedName>
    <definedName name="_xlnm.Print_Titles" localSheetId="3">'Hilfe'!$1:$4</definedName>
    <definedName name="E\h">#REF!</definedName>
    <definedName name="E\Jahr">#REF!</definedName>
    <definedName name="FK\h">#REF!</definedName>
    <definedName name="FK\Jahr">#REF!</definedName>
    <definedName name="Formel">'Berechnung'!$M$75:$M$100</definedName>
    <definedName name="GK\h">#REF!</definedName>
    <definedName name="gND">#REF!</definedName>
    <definedName name="ja">'Dateneingabe'!$D$42:$D$43</definedName>
    <definedName name="Namen">'[1]Korrektur'!$B$44:$B$68</definedName>
    <definedName name="Op">'Berechnung'!$K$75:$K$78</definedName>
    <definedName name="R\100h">#REF!</definedName>
    <definedName name="R\Jahr">#REF!</definedName>
    <definedName name="Rechenansatz">'Berechnung'!$U$75:$U$100</definedName>
    <definedName name="RvH">#REF!</definedName>
    <definedName name="RvH\100h">#REF!</definedName>
    <definedName name="U">#REF!</definedName>
    <definedName name="U\Jahr">#REF!</definedName>
    <definedName name="UvH">#REF!</definedName>
    <definedName name="V">#REF!</definedName>
    <definedName name="V\Jahr">#REF!</definedName>
    <definedName name="VK\h">#REF!</definedName>
    <definedName name="VK\Jahr">#REF!</definedName>
    <definedName name="VvH">#REF!</definedName>
    <definedName name="Z\Jahr">#REF!</definedName>
    <definedName name="ZvH">#REF!</definedName>
    <definedName name="ZW">#REF!</definedName>
    <definedName name="Ζ">#REF!</definedName>
  </definedNames>
  <calcPr fullCalcOnLoad="1"/>
</workbook>
</file>

<file path=xl/comments1.xml><?xml version="1.0" encoding="utf-8"?>
<comments xmlns="http://schemas.openxmlformats.org/spreadsheetml/2006/main">
  <authors>
    <author>Wolfgang Harasleben</author>
  </authors>
  <commentList>
    <comment ref="C3" authorId="0">
      <text>
        <r>
          <rPr>
            <b/>
            <sz val="8"/>
            <color indexed="17"/>
            <rFont val="Tahoma"/>
            <family val="2"/>
          </rPr>
          <t xml:space="preserve">ACHTUNG: </t>
        </r>
        <r>
          <rPr>
            <sz val="8"/>
            <color indexed="17"/>
            <rFont val="Tahoma"/>
            <family val="2"/>
          </rPr>
          <t xml:space="preserve">In die gelben Felder kannst du die Daten der Maschine eingeben, die du ausrechnen möchtest!
Bitte </t>
        </r>
        <r>
          <rPr>
            <b/>
            <sz val="8"/>
            <color indexed="17"/>
            <rFont val="Tahoma"/>
            <family val="2"/>
          </rPr>
          <t>beachte</t>
        </r>
        <r>
          <rPr>
            <sz val="8"/>
            <color indexed="17"/>
            <rFont val="Tahoma"/>
            <family val="2"/>
          </rPr>
          <t>, dass du mit Ausnahme des Feldes für die Größe weder Einheiten noch Dezimalpunkte einge-ben darfst!!!</t>
        </r>
      </text>
    </comment>
    <comment ref="F20" authorId="0">
      <text>
        <r>
          <rPr>
            <b/>
            <sz val="8"/>
            <color indexed="17"/>
            <rFont val="Tahoma"/>
            <family val="2"/>
          </rPr>
          <t>Verzinsung in %:</t>
        </r>
        <r>
          <rPr>
            <sz val="8"/>
            <color indexed="17"/>
            <rFont val="Tahoma"/>
            <family val="2"/>
          </rPr>
          <t xml:space="preserve">
Laut ÖKL </t>
        </r>
        <r>
          <rPr>
            <b/>
            <sz val="8"/>
            <color indexed="17"/>
            <rFont val="Tahoma"/>
            <family val="2"/>
          </rPr>
          <t>6%</t>
        </r>
        <r>
          <rPr>
            <sz val="8"/>
            <color indexed="17"/>
            <rFont val="Tahoma"/>
            <family val="2"/>
          </rPr>
          <t xml:space="preserve"> vom </t>
        </r>
        <r>
          <rPr>
            <b/>
            <sz val="8"/>
            <color indexed="17"/>
            <rFont val="Tahoma"/>
            <family val="2"/>
          </rPr>
          <t xml:space="preserve">halben </t>
        </r>
        <r>
          <rPr>
            <sz val="8"/>
            <color indexed="17"/>
            <rFont val="Tahoma"/>
            <family val="2"/>
          </rPr>
          <t>Anschaffungswert
→ das sind 3 % vom 
    Anschaffungswert!</t>
        </r>
      </text>
    </comment>
    <comment ref="F25" authorId="0">
      <text>
        <r>
          <rPr>
            <b/>
            <sz val="8"/>
            <color indexed="17"/>
            <rFont val="Tahoma"/>
            <family val="2"/>
          </rPr>
          <t>Reparaturkosten/100 h:</t>
        </r>
        <r>
          <rPr>
            <sz val="8"/>
            <color indexed="17"/>
            <rFont val="Tahoma"/>
            <family val="2"/>
          </rPr>
          <t xml:space="preserve">
Sind aus der ÖKL-Tabelle
für die jeweilige Maschine herauszusuchen!</t>
        </r>
      </text>
    </comment>
    <comment ref="F22" authorId="0">
      <text>
        <r>
          <rPr>
            <b/>
            <sz val="8"/>
            <color indexed="17"/>
            <rFont val="Tahoma"/>
            <family val="2"/>
          </rPr>
          <t>Energiekosten/h:</t>
        </r>
        <r>
          <rPr>
            <sz val="8"/>
            <color indexed="17"/>
            <rFont val="Tahoma"/>
            <family val="2"/>
          </rPr>
          <t xml:space="preserve">
Sind aus der ÖKL-Tabelle für die jeweilige Maschine herauszusuchen!
</t>
        </r>
        <r>
          <rPr>
            <b/>
            <sz val="8"/>
            <color indexed="17"/>
            <rFont val="Tahoma"/>
            <family val="2"/>
          </rPr>
          <t xml:space="preserve">ACHTUNG: ÖKL rechnet mit </t>
        </r>
        <r>
          <rPr>
            <b/>
            <u val="single"/>
            <sz val="8"/>
            <color indexed="17"/>
            <rFont val="Tahoma"/>
            <family val="2"/>
          </rPr>
          <t>Netto</t>
        </r>
        <r>
          <rPr>
            <b/>
            <sz val="8"/>
            <color indexed="17"/>
            <rFont val="Tahoma"/>
            <family val="2"/>
          </rPr>
          <t>-Beträgen!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BEACHTE: </t>
        </r>
        <r>
          <rPr>
            <sz val="8"/>
            <color indexed="17"/>
            <rFont val="Tahoma"/>
            <family val="2"/>
          </rPr>
          <t xml:space="preserve">Energiekosten fallen </t>
        </r>
        <r>
          <rPr>
            <b/>
            <sz val="8"/>
            <color indexed="17"/>
            <rFont val="Tahoma"/>
            <family val="2"/>
          </rPr>
          <t>nicht bei allen Maschinen</t>
        </r>
        <r>
          <rPr>
            <sz val="8"/>
            <color indexed="17"/>
            <rFont val="Tahoma"/>
            <family val="2"/>
          </rPr>
          <t xml:space="preserve"> an!</t>
        </r>
      </text>
    </comment>
    <comment ref="C20" authorId="0">
      <text>
        <r>
          <rPr>
            <b/>
            <sz val="8"/>
            <color indexed="17"/>
            <rFont val="Tahoma"/>
            <family val="2"/>
          </rPr>
          <t>Unterbringung in %:</t>
        </r>
        <r>
          <rPr>
            <sz val="8"/>
            <color indexed="17"/>
            <rFont val="Tahoma"/>
            <family val="2"/>
          </rPr>
          <t xml:space="preserve">
Für </t>
        </r>
        <r>
          <rPr>
            <b/>
            <sz val="8"/>
            <color indexed="17"/>
            <rFont val="Tahoma"/>
            <family val="2"/>
          </rPr>
          <t>Unterbringung und Versicherung</t>
        </r>
        <r>
          <rPr>
            <sz val="8"/>
            <color indexed="17"/>
            <rFont val="Tahoma"/>
            <family val="2"/>
          </rPr>
          <t xml:space="preserve"> sind laut ÖKL-Tabelle </t>
        </r>
        <r>
          <rPr>
            <b/>
            <sz val="8"/>
            <color indexed="17"/>
            <rFont val="Tahoma"/>
            <family val="2"/>
          </rPr>
          <t>2 %</t>
        </r>
        <r>
          <rPr>
            <sz val="8"/>
            <color indexed="17"/>
            <rFont val="Tahoma"/>
            <family val="2"/>
          </rPr>
          <t xml:space="preserve"> vom Anschaffungswert zu berechnen.
Da es hier auch möglich sein sollte, einen be-trieblichen Werte anzusetzen, teile ich diesen Prozentsatz einfach im Verhältnis 1:1.</t>
        </r>
      </text>
    </comment>
    <comment ref="C27" authorId="0">
      <text>
        <r>
          <rPr>
            <b/>
            <sz val="8"/>
            <color indexed="17"/>
            <rFont val="Tahoma"/>
            <family val="2"/>
          </rPr>
          <t>Versicherung in %:</t>
        </r>
        <r>
          <rPr>
            <sz val="8"/>
            <color indexed="17"/>
            <rFont val="Tahoma"/>
            <family val="2"/>
          </rPr>
          <t xml:space="preserve">
Für </t>
        </r>
        <r>
          <rPr>
            <b/>
            <sz val="8"/>
            <color indexed="17"/>
            <rFont val="Tahoma"/>
            <family val="2"/>
          </rPr>
          <t>Unterbringung und Versicherung</t>
        </r>
        <r>
          <rPr>
            <sz val="8"/>
            <color indexed="17"/>
            <rFont val="Tahoma"/>
            <family val="2"/>
          </rPr>
          <t xml:space="preserve"> sind laut ÖKL-Tabelle </t>
        </r>
        <r>
          <rPr>
            <b/>
            <sz val="8"/>
            <color indexed="17"/>
            <rFont val="Tahoma"/>
            <family val="2"/>
          </rPr>
          <t>2 %</t>
        </r>
        <r>
          <rPr>
            <sz val="8"/>
            <color indexed="17"/>
            <rFont val="Tahoma"/>
            <family val="2"/>
          </rPr>
          <t xml:space="preserve"> vom Anschaffungswert zu berechnen.
Da es hier auch möglich sein sollte, einen be-trieblichen Werte anzusetzen, teile ich diesen Prozentsatz einfach im Verhältnis 1:1.</t>
        </r>
      </text>
    </comment>
    <comment ref="C12" authorId="0">
      <text>
        <r>
          <rPr>
            <b/>
            <sz val="8"/>
            <color indexed="17"/>
            <rFont val="Tahoma"/>
            <family val="2"/>
          </rPr>
          <t>ACHTUNG:</t>
        </r>
        <r>
          <rPr>
            <sz val="8"/>
            <color indexed="17"/>
            <rFont val="Tahoma"/>
            <family val="2"/>
          </rPr>
          <t xml:space="preserve">
Wenn du deine Ergebnisse mit den Werten in der </t>
        </r>
        <r>
          <rPr>
            <b/>
            <sz val="8"/>
            <color indexed="17"/>
            <rFont val="Tahoma"/>
            <family val="2"/>
          </rPr>
          <t>ÖKL-Tabelle</t>
        </r>
        <r>
          <rPr>
            <sz val="8"/>
            <color indexed="17"/>
            <rFont val="Tahoma"/>
            <family val="2"/>
          </rPr>
          <t xml:space="preserve"> vergleichen möchtest, musst du den </t>
        </r>
        <r>
          <rPr>
            <b/>
            <sz val="8"/>
            <color indexed="17"/>
            <rFont val="Tahoma"/>
            <family val="2"/>
          </rPr>
          <t>Anschaffungswert</t>
        </r>
        <r>
          <rPr>
            <sz val="8"/>
            <color indexed="17"/>
            <rFont val="Tahoma"/>
            <family val="2"/>
          </rPr>
          <t xml:space="preserve"> deiner Maschine ohne Umsatzsteuer (</t>
        </r>
        <r>
          <rPr>
            <b/>
            <sz val="8"/>
            <color indexed="17"/>
            <rFont val="Tahoma"/>
            <family val="2"/>
          </rPr>
          <t>Netto</t>
        </r>
        <r>
          <rPr>
            <sz val="8"/>
            <color indexed="17"/>
            <rFont val="Tahoma"/>
            <family val="2"/>
          </rPr>
          <t>) eingeben!</t>
        </r>
      </text>
    </comment>
    <comment ref="C22" authorId="0">
      <text>
        <r>
          <rPr>
            <b/>
            <sz val="8"/>
            <color indexed="17"/>
            <rFont val="Tahoma"/>
            <family val="2"/>
          </rPr>
          <t xml:space="preserve">ACHTUNG:
</t>
        </r>
        <r>
          <rPr>
            <sz val="8"/>
            <color indexed="17"/>
            <rFont val="Tahoma"/>
            <family val="2"/>
          </rPr>
          <t xml:space="preserve">Wenn du deine Ergebnisse mit den Werten in der </t>
        </r>
        <r>
          <rPr>
            <b/>
            <sz val="8"/>
            <color indexed="17"/>
            <rFont val="Tahoma"/>
            <family val="2"/>
          </rPr>
          <t>ÖKL-Tabelle</t>
        </r>
        <r>
          <rPr>
            <sz val="8"/>
            <color indexed="17"/>
            <rFont val="Tahoma"/>
            <family val="2"/>
          </rPr>
          <t xml:space="preserve"> vergleichen möchtest, musst du die </t>
        </r>
        <r>
          <rPr>
            <b/>
            <sz val="8"/>
            <color indexed="17"/>
            <rFont val="Tahoma"/>
            <family val="2"/>
          </rPr>
          <t>Unterbringungskosten</t>
        </r>
        <r>
          <rPr>
            <sz val="8"/>
            <color indexed="17"/>
            <rFont val="Tahoma"/>
            <family val="2"/>
          </rPr>
          <t xml:space="preserve"> für deine Maschine ohne Umsatzsteuer (</t>
        </r>
        <r>
          <rPr>
            <b/>
            <sz val="8"/>
            <color indexed="17"/>
            <rFont val="Tahoma"/>
            <family val="2"/>
          </rPr>
          <t>Netto</t>
        </r>
        <r>
          <rPr>
            <sz val="8"/>
            <color indexed="17"/>
            <rFont val="Tahoma"/>
            <family val="2"/>
          </rPr>
          <t>) eingeben!</t>
        </r>
      </text>
    </comment>
    <comment ref="C29" authorId="0">
      <text>
        <r>
          <rPr>
            <b/>
            <sz val="8"/>
            <color indexed="17"/>
            <rFont val="Tahoma"/>
            <family val="2"/>
          </rPr>
          <t>ACHTUNG:</t>
        </r>
        <r>
          <rPr>
            <sz val="8"/>
            <color indexed="17"/>
            <rFont val="Tahoma"/>
            <family val="2"/>
          </rPr>
          <t xml:space="preserve">
Wenn du deine Ergebnisse mit den Werten in der </t>
        </r>
        <r>
          <rPr>
            <b/>
            <sz val="8"/>
            <color indexed="17"/>
            <rFont val="Tahoma"/>
            <family val="2"/>
          </rPr>
          <t>ÖKL-Tabelle</t>
        </r>
        <r>
          <rPr>
            <sz val="8"/>
            <color indexed="17"/>
            <rFont val="Tahoma"/>
            <family val="2"/>
          </rPr>
          <t xml:space="preserve"> vergleichen möchtest, musst du die </t>
        </r>
        <r>
          <rPr>
            <b/>
            <sz val="8"/>
            <color indexed="17"/>
            <rFont val="Tahoma"/>
            <family val="2"/>
          </rPr>
          <t>Versicherungskosten</t>
        </r>
        <r>
          <rPr>
            <sz val="8"/>
            <color indexed="17"/>
            <rFont val="Tahoma"/>
            <family val="2"/>
          </rPr>
          <t xml:space="preserve"> für deine Maschine ohne Umsatzsteuer (</t>
        </r>
        <r>
          <rPr>
            <b/>
            <sz val="8"/>
            <color indexed="17"/>
            <rFont val="Tahoma"/>
            <family val="2"/>
          </rPr>
          <t>Netto</t>
        </r>
        <r>
          <rPr>
            <sz val="8"/>
            <color indexed="17"/>
            <rFont val="Tahoma"/>
            <family val="2"/>
          </rPr>
          <t>) eingeben!</t>
        </r>
      </text>
    </comment>
  </commentList>
</comments>
</file>

<file path=xl/sharedStrings.xml><?xml version="1.0" encoding="utf-8"?>
<sst xmlns="http://schemas.openxmlformats.org/spreadsheetml/2006/main" count="239" uniqueCount="143">
  <si>
    <t>Ausgangsdaten</t>
  </si>
  <si>
    <t>Anschaffungswert</t>
  </si>
  <si>
    <t>Anschaffungsjahr</t>
  </si>
  <si>
    <t>Nutzungsdauer</t>
  </si>
  <si>
    <t>Zeitwert 1.1.</t>
  </si>
  <si>
    <t>Fixkosten</t>
  </si>
  <si>
    <t>Unterbringung (U)</t>
  </si>
  <si>
    <t>Versicherung (V)</t>
  </si>
  <si>
    <t>Verzinsung (Z)</t>
  </si>
  <si>
    <t>Summe Fixkosten pro Jahr</t>
  </si>
  <si>
    <t>Variable Kosten</t>
  </si>
  <si>
    <t>Energiekosten/h</t>
  </si>
  <si>
    <t>Summe variable Kosten pro Jahr</t>
  </si>
  <si>
    <t>Ergebnisse</t>
  </si>
  <si>
    <t>Fixkosten pro Betriebsstunde</t>
  </si>
  <si>
    <t>Variable Kosten pro Betriebsstunde</t>
  </si>
  <si>
    <t>Gesamtkosten pro Betriebsstunde</t>
  </si>
  <si>
    <t>Fixkosten
pro Jahr</t>
  </si>
  <si>
    <t>Variable Kosten pro Jahr</t>
  </si>
  <si>
    <t>Jährliche Afa (A)</t>
  </si>
  <si>
    <t>Unterbringung</t>
  </si>
  <si>
    <t>Versicherung</t>
  </si>
  <si>
    <t>Auslastung in h</t>
  </si>
  <si>
    <t>Aktuelles Jahr</t>
  </si>
  <si>
    <t>Energiekosten je h</t>
  </si>
  <si>
    <t>Reparaturkosten je 100 h in %</t>
  </si>
  <si>
    <t>Eingabefelder:</t>
  </si>
  <si>
    <t>Größe</t>
  </si>
  <si>
    <t>Berechnung</t>
  </si>
  <si>
    <t>Maschinenkostenrechnung</t>
  </si>
  <si>
    <t>xxx</t>
  </si>
  <si>
    <t>Eingabe</t>
  </si>
  <si>
    <t>Felder für Berechnungen:</t>
  </si>
  <si>
    <t>=AW/gND</t>
  </si>
  <si>
    <t>Kosten/Jahr</t>
  </si>
  <si>
    <t>Berechnung/Eingabe</t>
  </si>
  <si>
    <t>Kosten/Stunde</t>
  </si>
  <si>
    <t>1.</t>
  </si>
  <si>
    <t>Ergebnis</t>
  </si>
  <si>
    <t>Formel-
prüfung</t>
  </si>
  <si>
    <t>Punkte</t>
  </si>
  <si>
    <t>│</t>
  </si>
  <si>
    <t>2.</t>
  </si>
  <si>
    <t>Jährliche Afa</t>
  </si>
  <si>
    <t>Unterbringung in €</t>
  </si>
  <si>
    <t>Versicherung in €</t>
  </si>
  <si>
    <t>Verzinsung in €</t>
  </si>
  <si>
    <t>3.</t>
  </si>
  <si>
    <t>Energie pro Jahr</t>
  </si>
  <si>
    <t>Reparatur je 100 Stunden</t>
  </si>
  <si>
    <t>Reparatur pro Jahr</t>
  </si>
  <si>
    <t>Durchschnitts- oder Stückkosten</t>
  </si>
  <si>
    <t>FK pro Stunde</t>
  </si>
  <si>
    <t>VK pro Stunde</t>
  </si>
  <si>
    <t>GK pro Stunde</t>
  </si>
  <si>
    <t>Gesamtpunktezahl</t>
  </si>
  <si>
    <t>Note</t>
  </si>
  <si>
    <t>Abstufung:</t>
  </si>
  <si>
    <t>Deine Be-rechnung</t>
  </si>
  <si>
    <t>© Mag. Wolfgang Harasleben</t>
  </si>
  <si>
    <r>
      <t xml:space="preserve">Alter </t>
    </r>
    <r>
      <rPr>
        <sz val="8"/>
        <rFont val="Arial"/>
        <family val="2"/>
      </rPr>
      <t>(bisherige Nutzungsdauer - bND)</t>
    </r>
  </si>
  <si>
    <t>4.</t>
  </si>
  <si>
    <t>Alter und Zeitwert</t>
  </si>
  <si>
    <t>Alter (bisherige Nutzungsdauer)</t>
  </si>
  <si>
    <t>45 KW</t>
  </si>
  <si>
    <t>Hilfe - Formeln, Rechenansätze und Ergebnisse</t>
  </si>
  <si>
    <t>Notizen</t>
  </si>
  <si>
    <t>Alter</t>
  </si>
  <si>
    <t>Auslastung: Betriebsstunden pro Jahr</t>
  </si>
  <si>
    <r>
      <t>Zeitwert zu Beginn des Jahres (ZW</t>
    </r>
    <r>
      <rPr>
        <b/>
        <vertAlign val="subscript"/>
        <sz val="8"/>
        <color indexed="42"/>
        <rFont val="Arial Black"/>
        <family val="2"/>
      </rPr>
      <t>1.1.</t>
    </r>
    <r>
      <rPr>
        <b/>
        <sz val="8"/>
        <color indexed="42"/>
        <rFont val="Arial Black"/>
        <family val="2"/>
      </rPr>
      <t>)</t>
    </r>
  </si>
  <si>
    <r>
      <t>ZW</t>
    </r>
    <r>
      <rPr>
        <b/>
        <vertAlign val="subscript"/>
        <sz val="8"/>
        <color indexed="12"/>
        <rFont val="Arial"/>
        <family val="2"/>
      </rPr>
      <t>1.1.</t>
    </r>
  </si>
  <si>
    <t>Verzinsung in €  =  Anschaffungswert  x  Verzinsung in %</t>
  </si>
  <si>
    <t>Summe Fixkosten pro Jahr (FK/Jahr)</t>
  </si>
  <si>
    <t>FK/Jahr  =  Jährliche Afa  +  Unterbringung in €  +  Versicherung in €  +  Verzinsung in €</t>
  </si>
  <si>
    <t>Energiekosten pro Jahr (E)</t>
  </si>
  <si>
    <t>Reparaturkosten/100 h</t>
  </si>
  <si>
    <t>Reparaturkosten/100 h  =  Anschaffungswert  x  Reparatur in %</t>
  </si>
  <si>
    <t>Reparaturkosten pro Jahr (R)</t>
  </si>
  <si>
    <t>Reparaturkosten/Jahr  =  Raparaturkosten/100 h  :  100  x  Auslastung in h pro Jahr</t>
  </si>
  <si>
    <t>Summe variable Kosten pro Jahr (VK/Jahr)</t>
  </si>
  <si>
    <t>VK/Jahr  =  Energiekosten/Jahr  +  Reparaturkosten/Jahr</t>
  </si>
  <si>
    <t>Fixkosten pro Betriebsstunde (FK/h)</t>
  </si>
  <si>
    <t>Variable Kosten pro Betriebsstunde (VK/h)</t>
  </si>
  <si>
    <t>FK/h  =  Summe Fixkosten/Jahr  :  Auslastung in h por Jahr</t>
  </si>
  <si>
    <t>VK/h  =  Summe variable Kosten/Jahr  :  Auslastung in h por Jahr</t>
  </si>
  <si>
    <t>Gesamtkosaten pro Betriebsstunde (GK/h)</t>
  </si>
  <si>
    <t>GK/h  =  Fixkosten pro Betriebsstunde  +  Variable Kosten pro Betriebsstunde</t>
  </si>
  <si>
    <r>
      <rPr>
        <b/>
        <vertAlign val="superscript"/>
        <sz val="7"/>
        <color indexed="17"/>
        <rFont val="Arial"/>
        <family val="2"/>
      </rPr>
      <t>*)</t>
    </r>
    <r>
      <rPr>
        <b/>
        <sz val="7"/>
        <color indexed="17"/>
        <rFont val="Arial"/>
        <family val="2"/>
      </rPr>
      <t xml:space="preserve">  Hier bitte nur dann Werte eintragen, wenn
    tatsächlich betriebliche Werte vorhanden sind!</t>
    </r>
  </si>
  <si>
    <r>
      <rPr>
        <b/>
        <vertAlign val="superscript"/>
        <sz val="7"/>
        <color indexed="17"/>
        <rFont val="Arial"/>
        <family val="2"/>
      </rPr>
      <t xml:space="preserve"> *)</t>
    </r>
    <r>
      <rPr>
        <b/>
        <sz val="7"/>
        <color indexed="17"/>
        <rFont val="Arial"/>
        <family val="2"/>
      </rPr>
      <t xml:space="preserve"> Hier (</t>
    </r>
    <r>
      <rPr>
        <b/>
        <u val="single"/>
        <sz val="7"/>
        <color indexed="17"/>
        <rFont val="Arial"/>
        <family val="2"/>
      </rPr>
      <t>und nur hier!!!</t>
    </r>
    <r>
      <rPr>
        <b/>
        <sz val="7"/>
        <color indexed="17"/>
        <rFont val="Arial"/>
        <family val="2"/>
      </rPr>
      <t>) bitte die Einheit dazu schreiben!</t>
    </r>
  </si>
  <si>
    <r>
      <t xml:space="preserve">in % </t>
    </r>
    <r>
      <rPr>
        <b/>
        <sz val="8"/>
        <color indexed="17"/>
        <rFont val="Arial"/>
        <family val="2"/>
      </rPr>
      <t>(lt. ÖKL)</t>
    </r>
    <r>
      <rPr>
        <sz val="8"/>
        <rFont val="Arial"/>
        <family val="2"/>
      </rPr>
      <t xml:space="preserve"> bzw.</t>
    </r>
  </si>
  <si>
    <r>
      <t xml:space="preserve">in € </t>
    </r>
    <r>
      <rPr>
        <b/>
        <sz val="8"/>
        <color indexed="17"/>
        <rFont val="Arial"/>
        <family val="2"/>
      </rPr>
      <t>(betriebl. Wert)</t>
    </r>
  </si>
  <si>
    <r>
      <t xml:space="preserve">in % </t>
    </r>
    <r>
      <rPr>
        <b/>
        <sz val="8"/>
        <color indexed="17"/>
        <rFont val="Arial"/>
        <family val="2"/>
      </rPr>
      <t>(lt. ÖKL)</t>
    </r>
    <r>
      <rPr>
        <sz val="8"/>
        <rFont val="Arial"/>
        <family val="2"/>
      </rPr>
      <t xml:space="preserve"> oder</t>
    </r>
  </si>
  <si>
    <t>Verzinsung in % vom Anschaffungswert</t>
  </si>
  <si>
    <t>A</t>
  </si>
  <si>
    <t>U</t>
  </si>
  <si>
    <t>V</t>
  </si>
  <si>
    <t>Z</t>
  </si>
  <si>
    <t>E</t>
  </si>
  <si>
    <t>R</t>
  </si>
  <si>
    <t>pro h</t>
  </si>
  <si>
    <t>Maschine</t>
  </si>
  <si>
    <t>Allradtraktor</t>
  </si>
  <si>
    <t>Formel</t>
  </si>
  <si>
    <t>Fixkosten/h</t>
  </si>
  <si>
    <t>MR-Tarif/h</t>
  </si>
  <si>
    <t>Fixkosten/Jahr</t>
  </si>
  <si>
    <t>VK/h</t>
  </si>
  <si>
    <t>VK/Jahr</t>
  </si>
  <si>
    <t>MR-Tarif/Jahr</t>
  </si>
  <si>
    <t>Afa</t>
  </si>
  <si>
    <t>Zeitwert</t>
  </si>
  <si>
    <t>Auslastung</t>
  </si>
  <si>
    <t>Reparaturkosten/h</t>
  </si>
  <si>
    <t>Energeikosten/h</t>
  </si>
  <si>
    <t>Energeikosten/Jahr</t>
  </si>
  <si>
    <t>Reparaturkosten/Jahr</t>
  </si>
  <si>
    <t>Op</t>
  </si>
  <si>
    <t>+</t>
  </si>
  <si>
    <t>x</t>
  </si>
  <si>
    <t>:</t>
  </si>
  <si>
    <t>−</t>
  </si>
  <si>
    <t>Unterbringung/h</t>
  </si>
  <si>
    <t>Unterbringung/Jahr</t>
  </si>
  <si>
    <t>Versicherung/h</t>
  </si>
  <si>
    <t>Versicherung/Jahr</t>
  </si>
  <si>
    <t>Verzinsung/h</t>
  </si>
  <si>
    <t>Verzinsung/Jahr</t>
  </si>
  <si>
    <t>Lohnansatz/h</t>
  </si>
  <si>
    <t>(</t>
  </si>
  <si>
    <t>)</t>
  </si>
  <si>
    <t>Auslastung: Betriebsstunden/Jahr</t>
  </si>
  <si>
    <t>Lohnansatz/Jahr</t>
  </si>
  <si>
    <t>ja</t>
  </si>
  <si>
    <t xml:space="preserve">  ja</t>
  </si>
  <si>
    <t>Mindesteinsatzstunden berechnen?</t>
  </si>
  <si>
    <t>Korrekturblatt - Mindesteinsatzstunden von Maschinen</t>
  </si>
  <si>
    <t>Korrekturblatt - Maschinenkostenrechnung</t>
  </si>
  <si>
    <t xml:space="preserve"> unabhängige Ergebnisse</t>
  </si>
  <si>
    <t xml:space="preserve"> abhängige Ergebnisse (werden wenn die Formel korrekt ist, als Folgefehler mit 0,5 Punkten bewertet)</t>
  </si>
  <si>
    <t xml:space="preserve">Abstufung: </t>
  </si>
  <si>
    <t>-</t>
  </si>
  <si>
    <t>ÖKL-Werte sind reine Nettowerte ohne Umsatzsteuer</t>
  </si>
  <si>
    <t>2012.11.30.056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</si>
</sst>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\ &quot;%&quot;"/>
    <numFmt numFmtId="173" formatCode="0&quot;%&quot;"/>
    <numFmt numFmtId="174" formatCode="&quot;Reparaturkosten je&quot;\ 0\ &quot;h&quot;"/>
    <numFmt numFmtId="175" formatCode="&quot;Reparaturkosten/&quot;0&quot;h&quot;"/>
    <numFmt numFmtId="176" formatCode="0.0%"/>
    <numFmt numFmtId="177" formatCode="0\ &quot;Jahre&quot;"/>
    <numFmt numFmtId="178" formatCode="#,##0.\-\ &quot;€&quot;"/>
    <numFmt numFmtId="179" formatCode="0\ &quot;h&quot;"/>
    <numFmt numFmtId="180" formatCode="#,##0.00\ &quot;€&quot;"/>
    <numFmt numFmtId="181" formatCode="#,##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?\ %"/>
    <numFmt numFmtId="187" formatCode="#,##0.00\ &quot;€/h&quot;"/>
    <numFmt numFmtId="188" formatCode="#,##0.00\ &quot;€/100h&quot;"/>
    <numFmt numFmtId="189" formatCode="#,##0\ &quot;h&quot;"/>
    <numFmt numFmtId="190" formatCode="#,##0.00\ _€"/>
    <numFmt numFmtId="191" formatCode="#,##0.0\ _€"/>
    <numFmt numFmtId="192" formatCode="0.0"/>
    <numFmt numFmtId="193" formatCode="0.0\ &quot;/&quot;"/>
    <numFmt numFmtId="194" formatCode="&quot;Ergebnis in Prozent:&quot;\ 0\ %"/>
    <numFmt numFmtId="195" formatCode="0\ &quot;bis&quot;"/>
    <numFmt numFmtId="196" formatCode="&quot;oder&quot;\ 0\ &quot;Punkte&quot;"/>
    <numFmt numFmtId="197" formatCode="&quot;€&quot;\ #,##0.00"/>
    <numFmt numFmtId="198" formatCode="#,##0.00\ &quot;€/100 h&quot;"/>
    <numFmt numFmtId="199" formatCode="#,##0.\-"/>
    <numFmt numFmtId="200" formatCode="&quot;€&quot;\ #,##0.0;\-&quot;€&quot;\ #,##0.0"/>
    <numFmt numFmtId="201" formatCode="#,##0.00_ ;\-#,##0.00\ "/>
    <numFmt numFmtId="202" formatCode="#,##0.00\ &quot;€/Mh&quot;"/>
    <numFmt numFmtId="203" formatCode="#,##0.00\ &quot;€/AKh&quot;"/>
    <numFmt numFmtId="204" formatCode="&quot;=&quot;\ #,##0.00\ &quot;€&quot;"/>
    <numFmt numFmtId="205" formatCode="#,##0.00\ &quot;€/Jahr&quot;"/>
    <numFmt numFmtId="206" formatCode="#,##0.\-\ &quot;€/AKh&quot;"/>
    <numFmt numFmtId="207" formatCode="#,##0.\-\ &quot;€/Mh&quot;"/>
    <numFmt numFmtId="208" formatCode="#,##0.\-\ &quot;€/h&quot;"/>
    <numFmt numFmtId="209" formatCode="General\ \%"/>
    <numFmt numFmtId="210" formatCode="General\ &quot;h&quot;"/>
    <numFmt numFmtId="211" formatCode="#,##0\ &quot;kg&quot;"/>
    <numFmt numFmtId="212" formatCode="#,##0\ &quot;lt&quot;"/>
    <numFmt numFmtId="213" formatCode="_-* #,##0.00\ [$€-1]_-;\-* #,##0.00\ [$€-1]_-;_-* &quot;-&quot;??\ [$€-1]_-"/>
    <numFmt numFmtId="214" formatCode="0\ %\ &quot;Lieferantenrabatt&quot;"/>
    <numFmt numFmtId="215" formatCode="0\ %\ &quot;Lieferantenskonto&quot;"/>
    <numFmt numFmtId="216" formatCode="&quot;Version&quot;\ @"/>
  </numFmts>
  <fonts count="126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4"/>
      <color indexed="9"/>
      <name val="Arial Black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sz val="8"/>
      <color indexed="10"/>
      <name val="Arial"/>
      <family val="2"/>
    </font>
    <font>
      <sz val="10"/>
      <color indexed="9"/>
      <name val="Arial Black"/>
      <family val="2"/>
    </font>
    <font>
      <sz val="10"/>
      <color indexed="9"/>
      <name val="Arial"/>
      <family val="2"/>
    </font>
    <font>
      <sz val="12"/>
      <color indexed="9"/>
      <name val="Arial Black"/>
      <family val="2"/>
    </font>
    <font>
      <b/>
      <sz val="12"/>
      <color indexed="10"/>
      <name val="Arial"/>
      <family val="2"/>
    </font>
    <font>
      <b/>
      <sz val="14"/>
      <color indexed="9"/>
      <name val="Arial Black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 Black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8"/>
      <name val="Wingdings 2"/>
      <family val="1"/>
    </font>
    <font>
      <b/>
      <sz val="18"/>
      <color indexed="10"/>
      <name val="Arial"/>
      <family val="2"/>
    </font>
    <font>
      <sz val="8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2"/>
      <color indexed="42"/>
      <name val="Arial Black"/>
      <family val="2"/>
    </font>
    <font>
      <sz val="12"/>
      <name val="Arial Black"/>
      <family val="2"/>
    </font>
    <font>
      <b/>
      <sz val="8"/>
      <color indexed="42"/>
      <name val="Arial Black"/>
      <family val="2"/>
    </font>
    <font>
      <b/>
      <vertAlign val="subscript"/>
      <sz val="8"/>
      <color indexed="42"/>
      <name val="Arial Black"/>
      <family val="2"/>
    </font>
    <font>
      <b/>
      <vertAlign val="subscript"/>
      <sz val="8"/>
      <color indexed="12"/>
      <name val="Arial"/>
      <family val="2"/>
    </font>
    <font>
      <sz val="12"/>
      <name val="Calibri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7"/>
      <name val="Arial"/>
      <family val="2"/>
    </font>
    <font>
      <b/>
      <vertAlign val="superscript"/>
      <sz val="7"/>
      <color indexed="17"/>
      <name val="Arial"/>
      <family val="2"/>
    </font>
    <font>
      <b/>
      <sz val="8"/>
      <color indexed="17"/>
      <name val="Arial"/>
      <family val="2"/>
    </font>
    <font>
      <b/>
      <u val="single"/>
      <sz val="7"/>
      <color indexed="17"/>
      <name val="Arial"/>
      <family val="2"/>
    </font>
    <font>
      <sz val="8"/>
      <name val="Calibri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7"/>
      <name val="Arial"/>
      <family val="2"/>
    </font>
    <font>
      <vertAlign val="superscript"/>
      <sz val="7"/>
      <color indexed="12"/>
      <name val="Arial"/>
      <family val="2"/>
    </font>
    <font>
      <b/>
      <sz val="10"/>
      <name val="Calibri"/>
      <family val="2"/>
    </font>
    <font>
      <u val="single"/>
      <sz val="8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18"/>
      <name val="Arial"/>
      <family val="2"/>
    </font>
    <font>
      <b/>
      <sz val="8"/>
      <name val="Helv"/>
      <family val="0"/>
    </font>
    <font>
      <sz val="10"/>
      <color indexed="21"/>
      <name val="Helv"/>
      <family val="0"/>
    </font>
    <font>
      <b/>
      <sz val="10"/>
      <color indexed="18"/>
      <name val="Helv"/>
      <family val="0"/>
    </font>
    <font>
      <b/>
      <u val="single"/>
      <sz val="8"/>
      <color indexed="17"/>
      <name val="Tahoma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2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Arial"/>
      <family val="2"/>
    </font>
    <font>
      <b/>
      <sz val="10"/>
      <color indexed="9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D5EBAD"/>
      <name val="Arial"/>
      <family val="2"/>
    </font>
    <font>
      <b/>
      <sz val="8"/>
      <color rgb="FFD5EBAD"/>
      <name val="Arial Black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7"/>
      <color rgb="FF008000"/>
      <name val="Arial"/>
      <family val="2"/>
    </font>
    <font>
      <sz val="8"/>
      <color rgb="FFC0C0C0"/>
      <name val="Arial"/>
      <family val="2"/>
    </font>
    <font>
      <sz val="12"/>
      <color rgb="FFC0C0C0"/>
      <name val="Arial"/>
      <family val="2"/>
    </font>
    <font>
      <b/>
      <sz val="8"/>
      <color rgb="FF008000"/>
      <name val="Arial"/>
      <family val="2"/>
    </font>
    <font>
      <sz val="8"/>
      <color theme="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1"/>
      </patternFill>
    </fill>
    <fill>
      <patternFill patternType="darkGray">
        <fgColor indexed="22"/>
        <bgColor indexed="11"/>
      </patternFill>
    </fill>
    <fill>
      <patternFill patternType="mediumGray">
        <fgColor indexed="22"/>
        <bgColor indexed="2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10"/>
      </patternFill>
    </fill>
    <fill>
      <patternFill patternType="mediumGray">
        <f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1"/>
        <bgColor indexed="9"/>
      </patternFill>
    </fill>
    <fill>
      <patternFill patternType="solid">
        <fgColor rgb="FFFFCC99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15"/>
      </patternFill>
    </fill>
    <fill>
      <patternFill patternType="lightGray">
        <fgColor indexed="13"/>
        <bgColor indexed="9"/>
      </patternFill>
    </fill>
    <fill>
      <patternFill patternType="lightGray">
        <fgColor indexed="11"/>
      </patternFill>
    </fill>
    <fill>
      <patternFill patternType="mediumGray">
        <fgColor indexed="13"/>
        <bgColor indexed="9"/>
      </patternFill>
    </fill>
    <fill>
      <patternFill patternType="mediumGray">
        <fgColor indexed="15"/>
      </patternFill>
    </fill>
    <fill>
      <patternFill patternType="medium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3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5EBA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A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1F3"/>
        <bgColor indexed="64"/>
      </patternFill>
    </fill>
    <fill>
      <patternFill patternType="solid">
        <fgColor rgb="FFE1EBAF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180" fontId="0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6" borderId="2" applyNumberFormat="0" applyAlignment="0" applyProtection="0"/>
    <xf numFmtId="180" fontId="0" fillId="0" borderId="0">
      <alignment/>
      <protection/>
    </xf>
    <xf numFmtId="180" fontId="51" fillId="27" borderId="0">
      <alignment/>
      <protection/>
    </xf>
    <xf numFmtId="0" fontId="9" fillId="0" borderId="0" applyNumberFormat="0" applyFill="0" applyBorder="0" applyAlignment="0" applyProtection="0"/>
    <xf numFmtId="0" fontId="1" fillId="28" borderId="0" applyNumberFormat="0" applyFont="0">
      <alignment horizontal="centerContinuous"/>
      <protection/>
    </xf>
    <xf numFmtId="0" fontId="1" fillId="28" borderId="0" applyNumberFormat="0" applyFont="0">
      <alignment horizontal="centerContinuous"/>
      <protection/>
    </xf>
    <xf numFmtId="0" fontId="1" fillId="28" borderId="0" applyNumberFormat="0" applyFont="0">
      <alignment horizontal="centerContinuous"/>
      <protection/>
    </xf>
    <xf numFmtId="0" fontId="2" fillId="29" borderId="3" applyBorder="0">
      <alignment/>
      <protection/>
    </xf>
    <xf numFmtId="40" fontId="53" fillId="30" borderId="4" applyNumberFormat="0" applyBorder="0">
      <alignment/>
      <protection/>
    </xf>
    <xf numFmtId="0" fontId="15" fillId="31" borderId="0">
      <alignment vertical="center" wrapText="1"/>
      <protection hidden="1"/>
    </xf>
    <xf numFmtId="0" fontId="10" fillId="32" borderId="0">
      <alignment/>
      <protection/>
    </xf>
    <xf numFmtId="0" fontId="23" fillId="0" borderId="0" applyFont="0" applyAlignment="0">
      <protection hidden="1"/>
    </xf>
    <xf numFmtId="0" fontId="6" fillId="0" borderId="0">
      <alignment horizontal="left" vertical="center" indent="1"/>
      <protection hidden="1"/>
    </xf>
    <xf numFmtId="180" fontId="7" fillId="33" borderId="5">
      <alignment horizontal="left" vertical="center" wrapText="1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34" borderId="0">
      <alignment horizontal="justify" vertical="center" wrapText="1"/>
      <protection hidden="1"/>
    </xf>
    <xf numFmtId="0" fontId="11" fillId="34" borderId="6">
      <alignment horizontal="left" wrapText="1"/>
      <protection hidden="1"/>
    </xf>
    <xf numFmtId="0" fontId="27" fillId="34" borderId="0">
      <alignment horizontal="left" vertical="top"/>
      <protection hidden="1"/>
    </xf>
    <xf numFmtId="0" fontId="54" fillId="35" borderId="0" applyNumberFormat="0" applyFont="0" applyBorder="0" applyAlignment="0" applyProtection="0"/>
    <xf numFmtId="0" fontId="55" fillId="36" borderId="7" applyNumberFormat="0" applyBorder="0">
      <alignment/>
      <protection/>
    </xf>
    <xf numFmtId="0" fontId="54" fillId="37" borderId="8">
      <alignment/>
      <protection/>
    </xf>
    <xf numFmtId="0" fontId="7" fillId="33" borderId="5">
      <alignment horizontal="left" vertical="center" wrapText="1"/>
      <protection locked="0"/>
    </xf>
    <xf numFmtId="177" fontId="7" fillId="33" borderId="5">
      <alignment horizontal="left" vertical="center" wrapText="1"/>
      <protection locked="0"/>
    </xf>
    <xf numFmtId="186" fontId="1" fillId="38" borderId="5">
      <alignment horizontal="left" vertical="center" wrapText="1"/>
      <protection hidden="1"/>
    </xf>
    <xf numFmtId="186" fontId="7" fillId="33" borderId="5">
      <alignment horizontal="left" vertical="center" wrapText="1"/>
      <protection locked="0"/>
    </xf>
    <xf numFmtId="189" fontId="7" fillId="33" borderId="5">
      <alignment horizontal="left" vertical="center" wrapText="1"/>
      <protection locked="0"/>
    </xf>
    <xf numFmtId="0" fontId="16" fillId="33" borderId="9" applyBorder="0">
      <alignment horizontal="left" vertical="center"/>
      <protection locked="0"/>
    </xf>
    <xf numFmtId="0" fontId="16" fillId="33" borderId="9">
      <alignment horizontal="left" vertical="center"/>
      <protection locked="0"/>
    </xf>
    <xf numFmtId="0" fontId="16" fillId="33" borderId="9">
      <alignment horizontal="left" vertical="center"/>
      <protection locked="0"/>
    </xf>
    <xf numFmtId="0" fontId="7" fillId="33" borderId="5">
      <alignment horizontal="left" vertical="center" wrapText="1"/>
      <protection hidden="1"/>
    </xf>
    <xf numFmtId="0" fontId="11" fillId="34" borderId="6" applyBorder="0" applyAlignment="0">
      <protection hidden="1"/>
    </xf>
    <xf numFmtId="0" fontId="7" fillId="33" borderId="5">
      <alignment horizontal="left" vertical="center" wrapText="1"/>
      <protection hidden="1"/>
    </xf>
    <xf numFmtId="0" fontId="1" fillId="34" borderId="0">
      <alignment horizontal="left" vertical="center" wrapText="1"/>
      <protection hidden="1"/>
    </xf>
    <xf numFmtId="0" fontId="6" fillId="34" borderId="0">
      <alignment horizontal="left" vertical="center" wrapText="1"/>
      <protection hidden="1"/>
    </xf>
    <xf numFmtId="0" fontId="5" fillId="39" borderId="0">
      <alignment horizontal="centerContinuous" vertical="center"/>
      <protection hidden="1"/>
    </xf>
    <xf numFmtId="0" fontId="0" fillId="0" borderId="0">
      <alignment/>
      <protection hidden="1"/>
    </xf>
    <xf numFmtId="40" fontId="56" fillId="40" borderId="0" applyNumberFormat="0" applyFont="0">
      <alignment horizontal="centerContinuous" vertical="center"/>
      <protection/>
    </xf>
    <xf numFmtId="0" fontId="95" fillId="41" borderId="2" applyNumberFormat="0" applyAlignment="0" applyProtection="0"/>
    <xf numFmtId="0" fontId="96" fillId="0" borderId="10" applyNumberFormat="0" applyFill="0" applyAlignment="0" applyProtection="0"/>
    <xf numFmtId="0" fontId="97" fillId="0" borderId="0" applyNumberFormat="0" applyFill="0" applyBorder="0" applyAlignment="0" applyProtection="0"/>
    <xf numFmtId="213" fontId="2" fillId="0" borderId="0" applyFont="0" applyFill="0" applyBorder="0" applyAlignment="0" applyProtection="0"/>
    <xf numFmtId="0" fontId="51" fillId="27" borderId="0">
      <alignment/>
      <protection/>
    </xf>
    <xf numFmtId="214" fontId="0" fillId="0" borderId="0">
      <alignment horizontal="left"/>
      <protection/>
    </xf>
    <xf numFmtId="215" fontId="0" fillId="0" borderId="0">
      <alignment horizontal="left"/>
      <protection/>
    </xf>
    <xf numFmtId="0" fontId="0" fillId="0" borderId="0">
      <alignment/>
      <protection/>
    </xf>
    <xf numFmtId="0" fontId="2" fillId="42" borderId="0">
      <alignment/>
      <protection/>
    </xf>
    <xf numFmtId="0" fontId="2" fillId="29" borderId="0">
      <alignment/>
      <protection/>
    </xf>
    <xf numFmtId="0" fontId="98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31" borderId="0">
      <alignment/>
      <protection/>
    </xf>
    <xf numFmtId="0" fontId="54" fillId="44" borderId="11">
      <alignment/>
      <protection/>
    </xf>
    <xf numFmtId="0" fontId="54" fillId="45" borderId="11">
      <alignment/>
      <protection/>
    </xf>
    <xf numFmtId="0" fontId="54" fillId="46" borderId="0">
      <alignment/>
      <protection/>
    </xf>
    <xf numFmtId="0" fontId="55" fillId="47" borderId="12">
      <alignment/>
      <protection/>
    </xf>
    <xf numFmtId="0" fontId="57" fillId="48" borderId="11">
      <alignment/>
      <protection/>
    </xf>
    <xf numFmtId="0" fontId="54" fillId="49" borderId="13">
      <alignment/>
      <protection/>
    </xf>
    <xf numFmtId="0" fontId="54" fillId="50" borderId="0" applyNumberFormat="0" applyFont="0" applyBorder="0">
      <alignment/>
      <protection/>
    </xf>
    <xf numFmtId="0" fontId="58" fillId="42" borderId="0">
      <alignment/>
      <protection/>
    </xf>
    <xf numFmtId="0" fontId="59" fillId="51" borderId="0">
      <alignment/>
      <protection/>
    </xf>
    <xf numFmtId="0" fontId="99" fillId="52" borderId="0" applyNumberFormat="0" applyBorder="0" applyAlignment="0" applyProtection="0"/>
    <xf numFmtId="0" fontId="0" fillId="53" borderId="14" applyNumberFormat="0" applyFont="0" applyAlignment="0" applyProtection="0"/>
    <xf numFmtId="9" fontId="0" fillId="0" borderId="0" applyFont="0" applyFill="0" applyBorder="0" applyAlignment="0" applyProtection="0"/>
    <xf numFmtId="0" fontId="54" fillId="54" borderId="0">
      <alignment/>
      <protection/>
    </xf>
    <xf numFmtId="0" fontId="100" fillId="55" borderId="0" applyNumberFormat="0" applyBorder="0" applyAlignment="0" applyProtection="0"/>
    <xf numFmtId="0" fontId="54" fillId="56" borderId="0" applyNumberFormat="0" applyFont="0" applyBorder="0" applyAlignment="0" applyProtection="0"/>
    <xf numFmtId="0" fontId="54" fillId="56" borderId="0">
      <alignment/>
      <protection/>
    </xf>
    <xf numFmtId="0" fontId="54" fillId="35" borderId="0">
      <alignment/>
      <protection/>
    </xf>
    <xf numFmtId="0" fontId="2" fillId="0" borderId="0">
      <alignment/>
      <protection/>
    </xf>
    <xf numFmtId="0" fontId="54" fillId="28" borderId="0" applyNumberFormat="0" applyFont="0" applyBorder="0" applyAlignment="0" applyProtection="0"/>
    <xf numFmtId="0" fontId="10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103" fillId="0" borderId="16" applyNumberFormat="0" applyFill="0" applyAlignment="0" applyProtection="0"/>
    <xf numFmtId="0" fontId="104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54" fillId="35" borderId="0">
      <alignment/>
      <protection/>
    </xf>
    <xf numFmtId="40" fontId="53" fillId="30" borderId="0" applyBorder="0">
      <alignment/>
      <protection/>
    </xf>
    <xf numFmtId="0" fontId="107" fillId="57" borderId="19" applyNumberFormat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51" borderId="0" xfId="0" applyFont="1" applyFill="1" applyAlignment="1" applyProtection="1">
      <alignment vertical="center"/>
      <protection hidden="1"/>
    </xf>
    <xf numFmtId="0" fontId="3" fillId="31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vertical="center"/>
      <protection hidden="1"/>
    </xf>
    <xf numFmtId="0" fontId="3" fillId="58" borderId="0" xfId="0" applyFont="1" applyFill="1" applyAlignment="1" applyProtection="1">
      <alignment vertical="center"/>
      <protection hidden="1"/>
    </xf>
    <xf numFmtId="0" fontId="3" fillId="58" borderId="0" xfId="0" applyFont="1" applyFill="1" applyAlignment="1" applyProtection="1">
      <alignment horizontal="right" vertical="center"/>
      <protection hidden="1"/>
    </xf>
    <xf numFmtId="0" fontId="2" fillId="58" borderId="0" xfId="0" applyFont="1" applyFill="1" applyAlignment="1" applyProtection="1">
      <alignment vertical="center"/>
      <protection hidden="1"/>
    </xf>
    <xf numFmtId="0" fontId="2" fillId="27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1" fillId="31" borderId="0" xfId="0" applyFont="1" applyFill="1" applyAlignment="1" applyProtection="1">
      <alignment horizontal="center" vertical="center"/>
      <protection hidden="1"/>
    </xf>
    <xf numFmtId="0" fontId="22" fillId="31" borderId="0" xfId="0" applyFont="1" applyFill="1" applyAlignment="1" applyProtection="1">
      <alignment vertical="center"/>
      <protection hidden="1"/>
    </xf>
    <xf numFmtId="176" fontId="2" fillId="0" borderId="20" xfId="103" applyNumberFormat="1" applyFont="1" applyFill="1" applyBorder="1" applyAlignment="1" applyProtection="1">
      <alignment vertical="center"/>
      <protection hidden="1"/>
    </xf>
    <xf numFmtId="0" fontId="1" fillId="38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11" fillId="34" borderId="0" xfId="72" applyBorder="1" applyAlignment="1">
      <alignment horizontal="left" vertical="center" wrapText="1"/>
      <protection hidden="1"/>
    </xf>
    <xf numFmtId="0" fontId="13" fillId="34" borderId="0" xfId="57" applyFont="1" applyBorder="1" applyAlignment="1">
      <alignment vertical="center" wrapText="1"/>
      <protection hidden="1"/>
    </xf>
    <xf numFmtId="0" fontId="1" fillId="34" borderId="0" xfId="57" applyFont="1" applyAlignment="1">
      <alignment vertical="center"/>
      <protection hidden="1"/>
    </xf>
    <xf numFmtId="0" fontId="7" fillId="34" borderId="0" xfId="57" applyFont="1" applyBorder="1" applyAlignment="1">
      <alignment horizontal="left" vertical="center" wrapText="1"/>
      <protection hidden="1"/>
    </xf>
    <xf numFmtId="0" fontId="6" fillId="34" borderId="0" xfId="57" applyFont="1" applyBorder="1" applyAlignment="1">
      <alignment horizontal="left" vertical="center"/>
      <protection hidden="1"/>
    </xf>
    <xf numFmtId="0" fontId="12" fillId="34" borderId="0" xfId="57" applyFont="1" applyBorder="1" applyAlignment="1">
      <alignment horizontal="justify" vertical="center" wrapText="1"/>
      <protection hidden="1"/>
    </xf>
    <xf numFmtId="0" fontId="1" fillId="34" borderId="0" xfId="57" applyFont="1" applyBorder="1" applyAlignment="1">
      <alignment horizontal="justify" vertical="center" wrapText="1"/>
      <protection hidden="1"/>
    </xf>
    <xf numFmtId="0" fontId="6" fillId="34" borderId="0" xfId="57" applyFont="1" applyBorder="1" applyAlignment="1">
      <alignment horizontal="left" vertical="center" wrapText="1"/>
      <protection hidden="1"/>
    </xf>
    <xf numFmtId="0" fontId="1" fillId="34" borderId="0" xfId="57" applyFont="1" applyBorder="1" applyAlignment="1">
      <alignment horizontal="left" vertical="center" wrapText="1"/>
      <protection hidden="1"/>
    </xf>
    <xf numFmtId="0" fontId="6" fillId="34" borderId="0" xfId="57" applyFont="1" applyBorder="1" applyAlignment="1">
      <alignment horizontal="left" vertical="center" wrapText="1"/>
      <protection hidden="1"/>
    </xf>
    <xf numFmtId="0" fontId="2" fillId="34" borderId="0" xfId="57" applyAlignment="1">
      <alignment vertical="center"/>
      <protection hidden="1"/>
    </xf>
    <xf numFmtId="0" fontId="1" fillId="34" borderId="0" xfId="57" applyFont="1" applyBorder="1" applyAlignment="1">
      <alignment vertical="center"/>
      <protection hidden="1"/>
    </xf>
    <xf numFmtId="0" fontId="23" fillId="0" borderId="0" xfId="52" applyFont="1" applyAlignment="1">
      <alignment vertical="center"/>
      <protection hidden="1"/>
    </xf>
    <xf numFmtId="0" fontId="5" fillId="54" borderId="0" xfId="0" applyFont="1" applyFill="1" applyBorder="1" applyAlignment="1" applyProtection="1">
      <alignment vertical="center"/>
      <protection hidden="1"/>
    </xf>
    <xf numFmtId="0" fontId="15" fillId="54" borderId="0" xfId="0" applyFont="1" applyFill="1" applyBorder="1" applyAlignment="1" applyProtection="1">
      <alignment horizontal="right" vertical="center"/>
      <protection hidden="1"/>
    </xf>
    <xf numFmtId="0" fontId="15" fillId="54" borderId="0" xfId="0" applyFont="1" applyFill="1" applyBorder="1" applyAlignment="1" applyProtection="1">
      <alignment vertical="center"/>
      <protection hidden="1"/>
    </xf>
    <xf numFmtId="0" fontId="17" fillId="54" borderId="0" xfId="0" applyFont="1" applyFill="1" applyBorder="1" applyAlignment="1" applyProtection="1">
      <alignment vertical="center"/>
      <protection hidden="1"/>
    </xf>
    <xf numFmtId="0" fontId="5" fillId="59" borderId="0" xfId="0" applyFont="1" applyFill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1" fillId="60" borderId="0" xfId="0" applyFont="1" applyFill="1" applyBorder="1" applyAlignment="1" applyProtection="1">
      <alignment vertical="center"/>
      <protection hidden="1"/>
    </xf>
    <xf numFmtId="0" fontId="23" fillId="60" borderId="22" xfId="0" applyFont="1" applyFill="1" applyBorder="1" applyAlignment="1" applyProtection="1">
      <alignment vertical="center"/>
      <protection hidden="1"/>
    </xf>
    <xf numFmtId="0" fontId="1" fillId="60" borderId="23" xfId="0" applyFont="1" applyFill="1" applyBorder="1" applyAlignment="1" applyProtection="1">
      <alignment vertical="center"/>
      <protection hidden="1"/>
    </xf>
    <xf numFmtId="0" fontId="12" fillId="60" borderId="24" xfId="0" applyFont="1" applyFill="1" applyBorder="1" applyAlignment="1" applyProtection="1">
      <alignment vertical="center"/>
      <protection hidden="1"/>
    </xf>
    <xf numFmtId="0" fontId="1" fillId="60" borderId="25" xfId="0" applyFont="1" applyFill="1" applyBorder="1" applyAlignment="1" applyProtection="1">
      <alignment vertical="center"/>
      <protection hidden="1"/>
    </xf>
    <xf numFmtId="0" fontId="1" fillId="60" borderId="26" xfId="0" applyFont="1" applyFill="1" applyBorder="1" applyAlignment="1" applyProtection="1">
      <alignment vertical="center"/>
      <protection hidden="1"/>
    </xf>
    <xf numFmtId="0" fontId="108" fillId="61" borderId="27" xfId="0" applyFont="1" applyFill="1" applyBorder="1" applyAlignment="1" applyProtection="1">
      <alignment vertical="center"/>
      <protection hidden="1"/>
    </xf>
    <xf numFmtId="0" fontId="108" fillId="61" borderId="28" xfId="0" applyFont="1" applyFill="1" applyBorder="1" applyAlignment="1" applyProtection="1">
      <alignment vertical="center"/>
      <protection hidden="1"/>
    </xf>
    <xf numFmtId="0" fontId="2" fillId="51" borderId="0" xfId="0" applyFont="1" applyFill="1" applyAlignment="1" applyProtection="1">
      <alignment vertical="center"/>
      <protection hidden="1"/>
    </xf>
    <xf numFmtId="0" fontId="109" fillId="61" borderId="29" xfId="0" applyFont="1" applyFill="1" applyBorder="1" applyAlignment="1" applyProtection="1">
      <alignment vertical="center"/>
      <protection hidden="1"/>
    </xf>
    <xf numFmtId="0" fontId="110" fillId="60" borderId="25" xfId="0" applyFont="1" applyFill="1" applyBorder="1" applyAlignment="1" applyProtection="1">
      <alignment vertical="center"/>
      <protection hidden="1"/>
    </xf>
    <xf numFmtId="0" fontId="111" fillId="60" borderId="0" xfId="0" applyFont="1" applyFill="1" applyBorder="1" applyAlignment="1" applyProtection="1">
      <alignment vertical="center"/>
      <protection hidden="1"/>
    </xf>
    <xf numFmtId="0" fontId="35" fillId="34" borderId="0" xfId="0" applyFont="1" applyFill="1" applyAlignment="1" applyProtection="1">
      <alignment/>
      <protection hidden="1"/>
    </xf>
    <xf numFmtId="0" fontId="29" fillId="0" borderId="30" xfId="0" applyFont="1" applyFill="1" applyBorder="1" applyAlignment="1" applyProtection="1">
      <alignment horizontal="justify" vertical="center"/>
      <protection hidden="1"/>
    </xf>
    <xf numFmtId="0" fontId="29" fillId="0" borderId="31" xfId="0" applyFont="1" applyFill="1" applyBorder="1" applyAlignment="1" applyProtection="1">
      <alignment horizontal="justify" vertical="center"/>
      <protection hidden="1"/>
    </xf>
    <xf numFmtId="0" fontId="29" fillId="0" borderId="0" xfId="0" applyFont="1" applyFill="1" applyBorder="1" applyAlignment="1" applyProtection="1">
      <alignment horizontal="justify" vertical="center"/>
      <protection hidden="1"/>
    </xf>
    <xf numFmtId="0" fontId="29" fillId="0" borderId="32" xfId="0" applyFont="1" applyFill="1" applyBorder="1" applyAlignment="1" applyProtection="1">
      <alignment horizontal="justify" vertical="center"/>
      <protection hidden="1"/>
    </xf>
    <xf numFmtId="0" fontId="29" fillId="0" borderId="33" xfId="0" applyFont="1" applyFill="1" applyBorder="1" applyAlignment="1" applyProtection="1">
      <alignment horizontal="justify" vertical="center"/>
      <protection hidden="1"/>
    </xf>
    <xf numFmtId="0" fontId="5" fillId="62" borderId="0" xfId="0" applyFont="1" applyFill="1" applyBorder="1" applyAlignment="1" applyProtection="1">
      <alignment vertical="center"/>
      <protection hidden="1"/>
    </xf>
    <xf numFmtId="0" fontId="15" fillId="62" borderId="0" xfId="0" applyFont="1" applyFill="1" applyBorder="1" applyAlignment="1" applyProtection="1">
      <alignment horizontal="right" vertical="center"/>
      <protection hidden="1"/>
    </xf>
    <xf numFmtId="0" fontId="15" fillId="62" borderId="0" xfId="0" applyFont="1" applyFill="1" applyBorder="1" applyAlignment="1" applyProtection="1">
      <alignment vertical="center"/>
      <protection hidden="1"/>
    </xf>
    <xf numFmtId="0" fontId="17" fillId="62" borderId="0" xfId="0" applyFont="1" applyFill="1" applyBorder="1" applyAlignment="1" applyProtection="1">
      <alignment vertical="center"/>
      <protection hidden="1"/>
    </xf>
    <xf numFmtId="0" fontId="7" fillId="33" borderId="5" xfId="73" applyFont="1" applyAlignment="1" applyProtection="1">
      <alignment horizontal="left" vertical="center" wrapText="1" indent="1"/>
      <protection locked="0"/>
    </xf>
    <xf numFmtId="0" fontId="6" fillId="34" borderId="0" xfId="57" applyFont="1" applyBorder="1" applyAlignment="1">
      <alignment horizontal="left" vertical="center" indent="1"/>
      <protection hidden="1"/>
    </xf>
    <xf numFmtId="180" fontId="7" fillId="33" borderId="5" xfId="54" applyAlignment="1" applyProtection="1">
      <alignment horizontal="left" vertical="center" wrapText="1" indent="1"/>
      <protection locked="0"/>
    </xf>
    <xf numFmtId="0" fontId="1" fillId="34" borderId="0" xfId="57" applyFont="1" applyBorder="1" applyAlignment="1">
      <alignment horizontal="left" vertical="center" wrapText="1" indent="1"/>
      <protection hidden="1"/>
    </xf>
    <xf numFmtId="0" fontId="7" fillId="33" borderId="5" xfId="63" applyAlignment="1" applyProtection="1">
      <alignment horizontal="left" vertical="center" wrapText="1" indent="1"/>
      <protection locked="0"/>
    </xf>
    <xf numFmtId="177" fontId="7" fillId="33" borderId="5" xfId="64" applyAlignment="1" applyProtection="1">
      <alignment horizontal="left" vertical="center" wrapText="1" indent="1"/>
      <protection locked="0"/>
    </xf>
    <xf numFmtId="186" fontId="1" fillId="38" borderId="5" xfId="65" applyAlignment="1">
      <alignment horizontal="left" vertical="center" wrapText="1" indent="1"/>
      <protection hidden="1"/>
    </xf>
    <xf numFmtId="0" fontId="6" fillId="34" borderId="0" xfId="57" applyFont="1" applyBorder="1" applyAlignment="1">
      <alignment horizontal="left" vertical="center" wrapText="1" indent="1"/>
      <protection hidden="1"/>
    </xf>
    <xf numFmtId="0" fontId="5" fillId="63" borderId="0" xfId="76" applyFill="1" applyAlignment="1">
      <alignment horizontal="centerContinuous" vertical="center"/>
      <protection hidden="1"/>
    </xf>
    <xf numFmtId="0" fontId="0" fillId="0" borderId="0" xfId="77" applyAlignment="1">
      <alignment vertical="center"/>
      <protection hidden="1"/>
    </xf>
    <xf numFmtId="0" fontId="6" fillId="0" borderId="0" xfId="53" applyAlignment="1">
      <alignment horizontal="left" vertical="center"/>
      <protection hidden="1"/>
    </xf>
    <xf numFmtId="0" fontId="2" fillId="34" borderId="0" xfId="57" applyAlignment="1">
      <alignment horizontal="justify" vertical="center" wrapText="1"/>
      <protection hidden="1"/>
    </xf>
    <xf numFmtId="0" fontId="14" fillId="34" borderId="0" xfId="57" applyFont="1" applyBorder="1" applyAlignment="1">
      <alignment horizontal="justify" vertical="center" wrapText="1"/>
      <protection hidden="1"/>
    </xf>
    <xf numFmtId="0" fontId="6" fillId="34" borderId="0" xfId="75" applyAlignment="1">
      <alignment horizontal="left" vertical="center" wrapText="1"/>
      <protection hidden="1"/>
    </xf>
    <xf numFmtId="0" fontId="0" fillId="0" borderId="0" xfId="52" applyFont="1" applyAlignment="1">
      <alignment vertical="center"/>
      <protection hidden="1"/>
    </xf>
    <xf numFmtId="189" fontId="7" fillId="33" borderId="5" xfId="67" applyAlignment="1" applyProtection="1">
      <alignment horizontal="left" vertical="center" wrapText="1" indent="1"/>
      <protection locked="0"/>
    </xf>
    <xf numFmtId="186" fontId="7" fillId="33" borderId="5" xfId="66" applyAlignment="1" applyProtection="1">
      <alignment horizontal="left" vertical="center" wrapText="1" indent="1"/>
      <protection locked="0"/>
    </xf>
    <xf numFmtId="0" fontId="5" fillId="63" borderId="0" xfId="76" applyFill="1" applyAlignment="1">
      <alignment vertical="center"/>
      <protection hidden="1"/>
    </xf>
    <xf numFmtId="0" fontId="36" fillId="34" borderId="0" xfId="59" applyFont="1" applyAlignment="1">
      <alignment horizontal="left" vertical="top" wrapText="1"/>
      <protection hidden="1"/>
    </xf>
    <xf numFmtId="0" fontId="11" fillId="34" borderId="0" xfId="72" applyBorder="1" applyAlignment="1">
      <alignment horizontal="left" vertical="center" wrapText="1" indent="1"/>
      <protection hidden="1"/>
    </xf>
    <xf numFmtId="0" fontId="37" fillId="34" borderId="0" xfId="59" applyFont="1" applyAlignment="1">
      <alignment horizontal="left" vertical="top" wrapText="1"/>
      <protection hidden="1"/>
    </xf>
    <xf numFmtId="0" fontId="112" fillId="34" borderId="0" xfId="57" applyFont="1" applyBorder="1" applyAlignment="1">
      <alignment vertical="center"/>
      <protection hidden="1"/>
    </xf>
    <xf numFmtId="0" fontId="1" fillId="34" borderId="0" xfId="74" applyFont="1" applyAlignment="1">
      <alignment horizontal="left" vertical="center" wrapText="1"/>
      <protection hidden="1"/>
    </xf>
    <xf numFmtId="0" fontId="42" fillId="34" borderId="0" xfId="57" applyFont="1" applyBorder="1" applyAlignment="1">
      <alignment horizontal="justify" vertical="center" wrapText="1"/>
      <protection hidden="1"/>
    </xf>
    <xf numFmtId="0" fontId="0" fillId="0" borderId="34" xfId="0" applyBorder="1" applyAlignment="1" applyProtection="1">
      <alignment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 indent="2"/>
      <protection hidden="1"/>
    </xf>
    <xf numFmtId="0" fontId="21" fillId="31" borderId="0" xfId="0" applyFont="1" applyFill="1" applyAlignment="1" applyProtection="1">
      <alignment horizontal="right" vertical="center" indent="2"/>
      <protection hidden="1"/>
    </xf>
    <xf numFmtId="0" fontId="113" fillId="34" borderId="0" xfId="0" applyFont="1" applyFill="1" applyAlignment="1" applyProtection="1">
      <alignment horizontal="right" vertical="center"/>
      <protection hidden="1"/>
    </xf>
    <xf numFmtId="4" fontId="113" fillId="34" borderId="0" xfId="0" applyNumberFormat="1" applyFont="1" applyFill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 indent="2"/>
      <protection hidden="1"/>
    </xf>
    <xf numFmtId="0" fontId="110" fillId="34" borderId="0" xfId="0" applyFont="1" applyFill="1" applyAlignment="1" applyProtection="1">
      <alignment horizontal="right" vertical="center"/>
      <protection hidden="1"/>
    </xf>
    <xf numFmtId="0" fontId="114" fillId="34" borderId="0" xfId="0" applyFont="1" applyFill="1" applyAlignment="1" applyProtection="1">
      <alignment vertical="center"/>
      <protection hidden="1"/>
    </xf>
    <xf numFmtId="0" fontId="6" fillId="34" borderId="0" xfId="75" applyAlignment="1">
      <alignment horizontal="right" vertical="center" wrapText="1" indent="1"/>
      <protection hidden="1"/>
    </xf>
    <xf numFmtId="0" fontId="1" fillId="34" borderId="0" xfId="57" applyFont="1" applyBorder="1" applyAlignment="1">
      <alignment horizontal="right" vertical="center" wrapText="1" indent="1"/>
      <protection hidden="1"/>
    </xf>
    <xf numFmtId="0" fontId="11" fillId="34" borderId="0" xfId="72" applyBorder="1" applyAlignment="1">
      <alignment horizontal="right" vertical="center" wrapText="1" indent="1"/>
      <protection hidden="1"/>
    </xf>
    <xf numFmtId="0" fontId="1" fillId="34" borderId="0" xfId="57" applyFont="1" applyAlignment="1">
      <alignment horizontal="right" vertical="center" indent="1"/>
      <protection hidden="1"/>
    </xf>
    <xf numFmtId="0" fontId="11" fillId="34" borderId="0" xfId="57" applyFont="1" applyBorder="1" applyAlignment="1">
      <alignment horizontal="right" vertical="center" wrapText="1" indent="1"/>
      <protection hidden="1"/>
    </xf>
    <xf numFmtId="0" fontId="6" fillId="34" borderId="0" xfId="75" applyFont="1" applyAlignment="1">
      <alignment horizontal="right" vertical="center" wrapText="1" indent="1"/>
      <protection hidden="1"/>
    </xf>
    <xf numFmtId="0" fontId="6" fillId="34" borderId="0" xfId="57" applyFont="1" applyBorder="1" applyAlignment="1">
      <alignment horizontal="right" vertical="center" wrapText="1" indent="1"/>
      <protection hidden="1"/>
    </xf>
    <xf numFmtId="0" fontId="7" fillId="33" borderId="5" xfId="73" applyAlignment="1">
      <alignment horizontal="left" vertical="center" wrapText="1" indent="1"/>
      <protection hidden="1"/>
    </xf>
    <xf numFmtId="0" fontId="3" fillId="34" borderId="0" xfId="57" applyFont="1" applyAlignment="1">
      <alignment vertical="center"/>
      <protection hidden="1"/>
    </xf>
    <xf numFmtId="0" fontId="2" fillId="60" borderId="0" xfId="57" applyFill="1" applyAlignment="1">
      <alignment vertical="center"/>
      <protection hidden="1"/>
    </xf>
    <xf numFmtId="0" fontId="36" fillId="60" borderId="0" xfId="59" applyFont="1" applyFill="1" applyAlignment="1">
      <alignment horizontal="left" vertical="top" wrapText="1"/>
      <protection hidden="1"/>
    </xf>
    <xf numFmtId="0" fontId="37" fillId="60" borderId="0" xfId="59" applyFont="1" applyFill="1" applyAlignment="1">
      <alignment horizontal="left" vertical="top" wrapText="1"/>
      <protection hidden="1"/>
    </xf>
    <xf numFmtId="0" fontId="115" fillId="60" borderId="0" xfId="74" applyFont="1" applyFill="1" applyAlignment="1">
      <alignment horizontal="left" vertical="center" wrapText="1"/>
      <protection hidden="1"/>
    </xf>
    <xf numFmtId="0" fontId="6" fillId="60" borderId="0" xfId="74" applyFont="1" applyFill="1" applyAlignment="1">
      <alignment horizontal="left" vertical="center" wrapText="1"/>
      <protection hidden="1"/>
    </xf>
    <xf numFmtId="0" fontId="46" fillId="60" borderId="0" xfId="59" applyFont="1" applyFill="1" applyAlignment="1">
      <alignment horizontal="right" vertical="top" wrapText="1"/>
      <protection hidden="1"/>
    </xf>
    <xf numFmtId="202" fontId="7" fillId="33" borderId="5" xfId="54" applyNumberFormat="1" applyAlignment="1" applyProtection="1">
      <alignment horizontal="left" vertical="center" wrapText="1" indent="1"/>
      <protection locked="0"/>
    </xf>
    <xf numFmtId="203" fontId="7" fillId="33" borderId="5" xfId="54" applyNumberFormat="1" applyAlignment="1" applyProtection="1">
      <alignment horizontal="left" vertical="center" wrapText="1" indent="1"/>
      <protection locked="0"/>
    </xf>
    <xf numFmtId="204" fontId="2" fillId="51" borderId="0" xfId="0" applyNumberFormat="1" applyFont="1" applyFill="1" applyAlignment="1" applyProtection="1">
      <alignment horizontal="left" vertical="center"/>
      <protection hidden="1"/>
    </xf>
    <xf numFmtId="4" fontId="116" fillId="64" borderId="30" xfId="0" applyNumberFormat="1" applyFont="1" applyFill="1" applyBorder="1" applyAlignment="1" applyProtection="1">
      <alignment horizontal="right" vertical="center"/>
      <protection hidden="1"/>
    </xf>
    <xf numFmtId="4" fontId="116" fillId="64" borderId="31" xfId="0" applyNumberFormat="1" applyFont="1" applyFill="1" applyBorder="1" applyAlignment="1" applyProtection="1">
      <alignment horizontal="right" vertical="center"/>
      <protection hidden="1"/>
    </xf>
    <xf numFmtId="4" fontId="116" fillId="64" borderId="33" xfId="0" applyNumberFormat="1" applyFont="1" applyFill="1" applyBorder="1" applyAlignment="1" applyProtection="1">
      <alignment horizontal="right" vertical="center"/>
      <protection hidden="1"/>
    </xf>
    <xf numFmtId="0" fontId="116" fillId="64" borderId="35" xfId="0" applyFont="1" applyFill="1" applyBorder="1" applyAlignment="1" applyProtection="1">
      <alignment horizontal="right" vertical="center"/>
      <protection hidden="1"/>
    </xf>
    <xf numFmtId="0" fontId="116" fillId="64" borderId="0" xfId="0" applyFont="1" applyFill="1" applyBorder="1" applyAlignment="1" applyProtection="1">
      <alignment horizontal="right" vertical="center"/>
      <protection hidden="1"/>
    </xf>
    <xf numFmtId="0" fontId="116" fillId="64" borderId="32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9" fillId="0" borderId="35" xfId="0" applyFont="1" applyFill="1" applyBorder="1" applyAlignment="1" applyProtection="1">
      <alignment horizontal="justify" vertical="center" wrapText="1"/>
      <protection hidden="1"/>
    </xf>
    <xf numFmtId="178" fontId="2" fillId="0" borderId="36" xfId="0" applyNumberFormat="1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177" fontId="2" fillId="0" borderId="37" xfId="0" applyNumberFormat="1" applyFont="1" applyFill="1" applyBorder="1" applyAlignment="1" applyProtection="1">
      <alignment vertical="center"/>
      <protection hidden="1"/>
    </xf>
    <xf numFmtId="179" fontId="2" fillId="0" borderId="37" xfId="0" applyNumberFormat="1" applyFont="1" applyFill="1" applyBorder="1" applyAlignment="1" applyProtection="1">
      <alignment vertical="center"/>
      <protection hidden="1"/>
    </xf>
    <xf numFmtId="0" fontId="29" fillId="0" borderId="35" xfId="0" applyFont="1" applyFill="1" applyBorder="1" applyAlignment="1" applyProtection="1">
      <alignment horizontal="justify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7" fillId="65" borderId="36" xfId="0" applyFont="1" applyFill="1" applyBorder="1" applyAlignment="1" applyProtection="1">
      <alignment vertical="center"/>
      <protection hidden="1"/>
    </xf>
    <xf numFmtId="0" fontId="118" fillId="65" borderId="30" xfId="0" applyFont="1" applyFill="1" applyBorder="1" applyAlignment="1" applyProtection="1">
      <alignment vertical="center"/>
      <protection hidden="1"/>
    </xf>
    <xf numFmtId="0" fontId="118" fillId="65" borderId="31" xfId="0" applyFont="1" applyFill="1" applyBorder="1" applyAlignment="1" applyProtection="1">
      <alignment vertical="center"/>
      <protection hidden="1"/>
    </xf>
    <xf numFmtId="0" fontId="118" fillId="65" borderId="0" xfId="0" applyFont="1" applyFill="1" applyBorder="1" applyAlignment="1" applyProtection="1">
      <alignment horizontal="center" vertical="center"/>
      <protection hidden="1"/>
    </xf>
    <xf numFmtId="0" fontId="118" fillId="65" borderId="0" xfId="0" applyFont="1" applyFill="1" applyBorder="1" applyAlignment="1" applyProtection="1">
      <alignment vertical="center"/>
      <protection hidden="1"/>
    </xf>
    <xf numFmtId="0" fontId="118" fillId="65" borderId="38" xfId="0" applyFont="1" applyFill="1" applyBorder="1" applyAlignment="1" applyProtection="1">
      <alignment vertical="center"/>
      <protection hidden="1"/>
    </xf>
    <xf numFmtId="0" fontId="118" fillId="65" borderId="32" xfId="0" applyFont="1" applyFill="1" applyBorder="1" applyAlignment="1" applyProtection="1">
      <alignment vertical="center"/>
      <protection hidden="1"/>
    </xf>
    <xf numFmtId="0" fontId="118" fillId="65" borderId="33" xfId="0" applyFont="1" applyFill="1" applyBorder="1" applyAlignment="1" applyProtection="1">
      <alignment vertical="center"/>
      <protection hidden="1"/>
    </xf>
    <xf numFmtId="0" fontId="118" fillId="65" borderId="35" xfId="0" applyFont="1" applyFill="1" applyBorder="1" applyAlignment="1" applyProtection="1">
      <alignment vertical="center"/>
      <protection hidden="1"/>
    </xf>
    <xf numFmtId="0" fontId="119" fillId="0" borderId="39" xfId="0" applyFont="1" applyBorder="1" applyAlignment="1" applyProtection="1">
      <alignment vertical="center"/>
      <protection hidden="1"/>
    </xf>
    <xf numFmtId="0" fontId="119" fillId="0" borderId="0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3" fillId="31" borderId="0" xfId="0" applyFont="1" applyFill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118" fillId="65" borderId="32" xfId="0" applyFont="1" applyFill="1" applyBorder="1" applyAlignment="1" applyProtection="1">
      <alignment horizontal="center" vertical="center"/>
      <protection hidden="1"/>
    </xf>
    <xf numFmtId="0" fontId="0" fillId="65" borderId="0" xfId="0" applyFill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20" fillId="65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65" borderId="0" xfId="0" applyFill="1" applyBorder="1" applyAlignment="1" applyProtection="1">
      <alignment/>
      <protection hidden="1"/>
    </xf>
    <xf numFmtId="0" fontId="0" fillId="66" borderId="0" xfId="0" applyFont="1" applyFill="1" applyAlignment="1">
      <alignment horizontal="center" vertical="center"/>
    </xf>
    <xf numFmtId="0" fontId="0" fillId="66" borderId="0" xfId="0" applyFill="1" applyAlignment="1">
      <alignment horizontal="center" vertical="center"/>
    </xf>
    <xf numFmtId="0" fontId="121" fillId="0" borderId="40" xfId="0" applyFont="1" applyBorder="1" applyAlignment="1">
      <alignment/>
    </xf>
    <xf numFmtId="189" fontId="50" fillId="33" borderId="5" xfId="67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65" borderId="37" xfId="0" applyFont="1" applyFill="1" applyBorder="1" applyAlignment="1" applyProtection="1">
      <alignment horizontal="right" vertical="center"/>
      <protection hidden="1"/>
    </xf>
    <xf numFmtId="0" fontId="6" fillId="60" borderId="0" xfId="74" applyFont="1" applyFill="1" applyAlignment="1">
      <alignment horizontal="left" vertical="center"/>
      <protection hidden="1"/>
    </xf>
    <xf numFmtId="0" fontId="114" fillId="34" borderId="0" xfId="0" applyFont="1" applyFill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117" fillId="65" borderId="35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20" fillId="65" borderId="31" xfId="0" applyFont="1" applyFill="1" applyBorder="1" applyAlignment="1" applyProtection="1">
      <alignment horizontal="right" vertical="center"/>
      <protection hidden="1"/>
    </xf>
    <xf numFmtId="4" fontId="116" fillId="64" borderId="0" xfId="0" applyNumberFormat="1" applyFont="1" applyFill="1" applyBorder="1" applyAlignment="1" applyProtection="1">
      <alignment horizontal="right" vertical="center"/>
      <protection hidden="1"/>
    </xf>
    <xf numFmtId="4" fontId="116" fillId="64" borderId="35" xfId="0" applyNumberFormat="1" applyFont="1" applyFill="1" applyBorder="1" applyAlignment="1" applyProtection="1">
      <alignment horizontal="right" vertical="center"/>
      <protection hidden="1"/>
    </xf>
    <xf numFmtId="4" fontId="116" fillId="64" borderId="32" xfId="0" applyNumberFormat="1" applyFont="1" applyFill="1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/>
      <protection hidden="1"/>
    </xf>
    <xf numFmtId="0" fontId="15" fillId="62" borderId="0" xfId="0" applyFont="1" applyFill="1" applyBorder="1" applyAlignment="1" applyProtection="1">
      <alignment horizontal="left" vertical="center" indent="1"/>
      <protection hidden="1"/>
    </xf>
    <xf numFmtId="0" fontId="15" fillId="54" borderId="0" xfId="0" applyFont="1" applyFill="1" applyBorder="1" applyAlignment="1" applyProtection="1">
      <alignment horizontal="left" vertical="center" indent="1"/>
      <protection hidden="1"/>
    </xf>
    <xf numFmtId="0" fontId="0" fillId="0" borderId="42" xfId="0" applyBorder="1" applyAlignment="1" applyProtection="1">
      <alignment/>
      <protection hidden="1"/>
    </xf>
    <xf numFmtId="0" fontId="12" fillId="60" borderId="22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1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22" fillId="67" borderId="0" xfId="0" applyFont="1" applyFill="1" applyBorder="1" applyAlignment="1" applyProtection="1">
      <alignment horizontal="center" vertical="center"/>
      <protection hidden="1"/>
    </xf>
    <xf numFmtId="0" fontId="120" fillId="0" borderId="0" xfId="0" applyFont="1" applyBorder="1" applyAlignment="1" applyProtection="1">
      <alignment horizontal="center"/>
      <protection hidden="1"/>
    </xf>
    <xf numFmtId="0" fontId="122" fillId="67" borderId="0" xfId="0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3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43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50" borderId="43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 wrapText="1"/>
      <protection hidden="1"/>
    </xf>
    <xf numFmtId="0" fontId="7" fillId="34" borderId="0" xfId="0" applyFont="1" applyFill="1" applyAlignment="1" applyProtection="1" quotePrefix="1">
      <alignment horizontal="center"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18" fillId="51" borderId="0" xfId="0" applyFont="1" applyFill="1" applyAlignment="1" applyProtection="1">
      <alignment vertical="center"/>
      <protection hidden="1"/>
    </xf>
    <xf numFmtId="0" fontId="0" fillId="51" borderId="0" xfId="0" applyFill="1" applyAlignment="1" applyProtection="1">
      <alignment vertical="center"/>
      <protection hidden="1"/>
    </xf>
    <xf numFmtId="0" fontId="2" fillId="51" borderId="0" xfId="0" applyFont="1" applyFill="1" applyAlignment="1" applyProtection="1">
      <alignment horizontal="center" vertical="center"/>
      <protection hidden="1"/>
    </xf>
    <xf numFmtId="0" fontId="0" fillId="51" borderId="0" xfId="0" applyFill="1" applyAlignment="1" applyProtection="1">
      <alignment horizontal="center" vertical="center"/>
      <protection hidden="1"/>
    </xf>
    <xf numFmtId="4" fontId="1" fillId="38" borderId="43" xfId="0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4" fontId="3" fillId="0" borderId="43" xfId="0" applyNumberFormat="1" applyFont="1" applyBorder="1" applyAlignment="1" applyProtection="1">
      <alignment vertical="center"/>
      <protection hidden="1"/>
    </xf>
    <xf numFmtId="0" fontId="18" fillId="51" borderId="0" xfId="0" applyFont="1" applyFill="1" applyAlignment="1" applyProtection="1">
      <alignment horizontal="center" vertical="center"/>
      <protection hidden="1"/>
    </xf>
    <xf numFmtId="0" fontId="18" fillId="51" borderId="32" xfId="0" applyNumberFormat="1" applyFont="1" applyFill="1" applyBorder="1" applyAlignment="1" applyProtection="1">
      <alignment horizontal="center" vertical="center"/>
      <protection hidden="1"/>
    </xf>
    <xf numFmtId="4" fontId="1" fillId="38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18" fillId="51" borderId="0" xfId="0" applyNumberFormat="1" applyFont="1" applyFill="1" applyBorder="1" applyAlignment="1" applyProtection="1">
      <alignment horizontal="center" vertical="center"/>
      <protection hidden="1"/>
    </xf>
    <xf numFmtId="4" fontId="1" fillId="50" borderId="43" xfId="0" applyNumberFormat="1" applyFont="1" applyFill="1" applyBorder="1" applyAlignment="1" applyProtection="1">
      <alignment vertical="center"/>
      <protection hidden="1"/>
    </xf>
    <xf numFmtId="4" fontId="3" fillId="50" borderId="43" xfId="0" applyNumberFormat="1" applyFont="1" applyFill="1" applyBorder="1" applyAlignment="1" applyProtection="1">
      <alignment vertical="center"/>
      <protection hidden="1"/>
    </xf>
    <xf numFmtId="0" fontId="20" fillId="34" borderId="0" xfId="0" applyFont="1" applyFill="1" applyAlignment="1" applyProtection="1">
      <alignment vertical="center"/>
      <protection hidden="1"/>
    </xf>
    <xf numFmtId="194" fontId="0" fillId="34" borderId="0" xfId="0" applyNumberFormat="1" applyFill="1" applyAlignment="1" applyProtection="1">
      <alignment horizontal="left" vertical="center"/>
      <protection hidden="1"/>
    </xf>
    <xf numFmtId="194" fontId="0" fillId="0" borderId="0" xfId="0" applyNumberFormat="1" applyAlignment="1" applyProtection="1">
      <alignment horizontal="left"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95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51" borderId="0" xfId="0" applyFont="1" applyFill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vertical="center"/>
      <protection hidden="1"/>
    </xf>
    <xf numFmtId="0" fontId="18" fillId="51" borderId="0" xfId="0" applyFont="1" applyFill="1" applyAlignment="1" applyProtection="1">
      <alignment horizontal="center" vertical="center"/>
      <protection hidden="1"/>
    </xf>
    <xf numFmtId="4" fontId="1" fillId="68" borderId="0" xfId="0" applyNumberFormat="1" applyFont="1" applyFill="1" applyBorder="1" applyAlignment="1" applyProtection="1">
      <alignment vertical="center"/>
      <protection hidden="1"/>
    </xf>
    <xf numFmtId="0" fontId="10" fillId="68" borderId="0" xfId="0" applyFont="1" applyFill="1" applyAlignment="1" applyProtection="1">
      <alignment vertical="center"/>
      <protection hidden="1"/>
    </xf>
    <xf numFmtId="0" fontId="10" fillId="68" borderId="0" xfId="0" applyFont="1" applyFill="1" applyAlignment="1" applyProtection="1">
      <alignment vertical="center" wrapText="1"/>
      <protection hidden="1"/>
    </xf>
    <xf numFmtId="192" fontId="10" fillId="68" borderId="0" xfId="0" applyNumberFormat="1" applyFont="1" applyFill="1" applyAlignment="1" applyProtection="1">
      <alignment horizontal="left" vertical="center" wrapText="1"/>
      <protection hidden="1"/>
    </xf>
    <xf numFmtId="192" fontId="10" fillId="68" borderId="0" xfId="0" applyNumberFormat="1" applyFont="1" applyFill="1" applyAlignment="1" applyProtection="1">
      <alignment horizontal="right" vertical="center" wrapText="1"/>
      <protection hidden="1"/>
    </xf>
    <xf numFmtId="0" fontId="2" fillId="68" borderId="0" xfId="0" applyFont="1" applyFill="1" applyAlignment="1" applyProtection="1">
      <alignment horizontal="center" vertical="center"/>
      <protection hidden="1"/>
    </xf>
    <xf numFmtId="0" fontId="0" fillId="68" borderId="32" xfId="0" applyFill="1" applyBorder="1" applyAlignment="1" applyProtection="1">
      <alignment vertical="center"/>
      <protection hidden="1"/>
    </xf>
    <xf numFmtId="0" fontId="1" fillId="68" borderId="32" xfId="0" applyFont="1" applyFill="1" applyBorder="1" applyAlignment="1" applyProtection="1">
      <alignment vertical="center"/>
      <protection hidden="1"/>
    </xf>
    <xf numFmtId="0" fontId="18" fillId="68" borderId="32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123" fillId="0" borderId="0" xfId="0" applyFont="1" applyAlignment="1" applyProtection="1">
      <alignment vertical="center"/>
      <protection hidden="1"/>
    </xf>
    <xf numFmtId="0" fontId="124" fillId="0" borderId="0" xfId="0" applyFont="1" applyAlignment="1" applyProtection="1">
      <alignment vertical="center"/>
      <protection hidden="1"/>
    </xf>
    <xf numFmtId="9" fontId="125" fillId="0" borderId="0" xfId="0" applyNumberFormat="1" applyFont="1" applyBorder="1" applyAlignment="1" applyProtection="1">
      <alignment horizontal="left" vertical="center"/>
      <protection hidden="1"/>
    </xf>
    <xf numFmtId="0" fontId="124" fillId="0" borderId="0" xfId="0" applyFont="1" applyAlignment="1" applyProtection="1">
      <alignment horizontal="left" vertical="center"/>
      <protection hidden="1"/>
    </xf>
    <xf numFmtId="0" fontId="125" fillId="0" borderId="0" xfId="0" applyFont="1" applyAlignment="1" applyProtection="1">
      <alignment vertical="center"/>
      <protection hidden="1"/>
    </xf>
    <xf numFmtId="0" fontId="0" fillId="0" borderId="0" xfId="77" applyFont="1" applyAlignment="1">
      <alignment vertical="center"/>
      <protection hidden="1"/>
    </xf>
    <xf numFmtId="4" fontId="10" fillId="68" borderId="0" xfId="0" applyNumberFormat="1" applyFont="1" applyFill="1" applyAlignment="1" applyProtection="1">
      <alignment vertical="center" wrapText="1"/>
      <protection hidden="1"/>
    </xf>
    <xf numFmtId="173" fontId="2" fillId="0" borderId="20" xfId="0" applyNumberFormat="1" applyFont="1" applyBorder="1" applyAlignment="1" applyProtection="1">
      <alignment horizontal="right" vertical="center"/>
      <protection hidden="1"/>
    </xf>
    <xf numFmtId="176" fontId="2" fillId="0" borderId="44" xfId="103" applyNumberFormat="1" applyFont="1" applyFill="1" applyBorder="1" applyAlignment="1" applyProtection="1">
      <alignment horizontal="right" vertical="center"/>
      <protection hidden="1"/>
    </xf>
    <xf numFmtId="176" fontId="2" fillId="0" borderId="20" xfId="103" applyNumberFormat="1" applyFont="1" applyFill="1" applyBorder="1" applyAlignment="1" applyProtection="1">
      <alignment horizontal="right" vertical="center"/>
      <protection hidden="1"/>
    </xf>
    <xf numFmtId="0" fontId="45" fillId="60" borderId="0" xfId="59" applyFont="1" applyFill="1" applyAlignment="1">
      <alignment horizontal="left" vertical="top" wrapText="1"/>
      <protection hidden="1"/>
    </xf>
    <xf numFmtId="0" fontId="16" fillId="33" borderId="9" xfId="70" applyFont="1" applyAlignment="1" applyProtection="1">
      <alignment horizontal="left" vertical="center" indent="1"/>
      <protection locked="0"/>
    </xf>
    <xf numFmtId="0" fontId="16" fillId="33" borderId="45" xfId="70" applyBorder="1" applyAlignment="1" applyProtection="1">
      <alignment horizontal="left" vertical="center" indent="1"/>
      <protection locked="0"/>
    </xf>
    <xf numFmtId="0" fontId="16" fillId="33" borderId="46" xfId="70" applyBorder="1" applyAlignment="1" applyProtection="1">
      <alignment horizontal="left" vertical="center" indent="1"/>
      <protection locked="0"/>
    </xf>
    <xf numFmtId="0" fontId="112" fillId="34" borderId="0" xfId="59" applyFont="1" applyAlignment="1">
      <alignment horizontal="left" vertical="center" wrapText="1"/>
      <protection hidden="1"/>
    </xf>
    <xf numFmtId="204" fontId="49" fillId="51" borderId="0" xfId="0" applyNumberFormat="1" applyFont="1" applyFill="1" applyBorder="1" applyAlignment="1" applyProtection="1">
      <alignment horizontal="left" vertical="center" indent="1"/>
      <protection hidden="1"/>
    </xf>
    <xf numFmtId="175" fontId="2" fillId="51" borderId="0" xfId="0" applyNumberFormat="1" applyFont="1" applyFill="1" applyAlignment="1" applyProtection="1">
      <alignment horizontal="left" vertical="center"/>
      <protection hidden="1"/>
    </xf>
    <xf numFmtId="175" fontId="2" fillId="51" borderId="47" xfId="0" applyNumberFormat="1" applyFont="1" applyFill="1" applyBorder="1" applyAlignment="1" applyProtection="1">
      <alignment horizontal="left" vertical="center"/>
      <protection hidden="1"/>
    </xf>
    <xf numFmtId="180" fontId="19" fillId="38" borderId="48" xfId="0" applyNumberFormat="1" applyFont="1" applyFill="1" applyBorder="1" applyAlignment="1" applyProtection="1">
      <alignment vertical="center"/>
      <protection locked="0"/>
    </xf>
    <xf numFmtId="180" fontId="19" fillId="38" borderId="49" xfId="0" applyNumberFormat="1" applyFont="1" applyFill="1" applyBorder="1" applyAlignment="1" applyProtection="1">
      <alignment vertical="center"/>
      <protection locked="0"/>
    </xf>
    <xf numFmtId="180" fontId="19" fillId="38" borderId="50" xfId="0" applyNumberFormat="1" applyFont="1" applyFill="1" applyBorder="1" applyAlignment="1" applyProtection="1">
      <alignment vertical="center"/>
      <protection locked="0"/>
    </xf>
    <xf numFmtId="0" fontId="2" fillId="65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51" xfId="0" applyFont="1" applyBorder="1" applyAlignment="1" applyProtection="1">
      <alignment vertical="center"/>
      <protection hidden="1"/>
    </xf>
    <xf numFmtId="180" fontId="118" fillId="67" borderId="48" xfId="0" applyNumberFormat="1" applyFont="1" applyFill="1" applyBorder="1" applyAlignment="1" applyProtection="1">
      <alignment horizontal="center" vertical="center"/>
      <protection locked="0"/>
    </xf>
    <xf numFmtId="180" fontId="118" fillId="67" borderId="49" xfId="0" applyNumberFormat="1" applyFont="1" applyFill="1" applyBorder="1" applyAlignment="1" applyProtection="1">
      <alignment horizontal="center" vertical="center"/>
      <protection locked="0"/>
    </xf>
    <xf numFmtId="180" fontId="118" fillId="67" borderId="50" xfId="0" applyNumberFormat="1" applyFont="1" applyFill="1" applyBorder="1" applyAlignment="1" applyProtection="1">
      <alignment horizontal="center" vertical="center"/>
      <protection locked="0"/>
    </xf>
    <xf numFmtId="178" fontId="2" fillId="0" borderId="21" xfId="0" applyNumberFormat="1" applyFont="1" applyFill="1" applyBorder="1" applyAlignment="1" applyProtection="1">
      <alignment horizontal="right" vertical="center" indent="1"/>
      <protection hidden="1"/>
    </xf>
    <xf numFmtId="178" fontId="2" fillId="0" borderId="52" xfId="0" applyNumberFormat="1" applyFont="1" applyFill="1" applyBorder="1" applyAlignment="1" applyProtection="1">
      <alignment horizontal="right" vertical="center" indent="1"/>
      <protection hidden="1"/>
    </xf>
    <xf numFmtId="178" fontId="2" fillId="0" borderId="53" xfId="0" applyNumberFormat="1" applyFont="1" applyFill="1" applyBorder="1" applyAlignment="1" applyProtection="1">
      <alignment horizontal="right" vertical="center" indent="1"/>
      <protection hidden="1"/>
    </xf>
    <xf numFmtId="189" fontId="122" fillId="65" borderId="48" xfId="0" applyNumberFormat="1" applyFont="1" applyFill="1" applyBorder="1" applyAlignment="1" applyProtection="1">
      <alignment horizontal="center" vertical="center"/>
      <protection locked="0"/>
    </xf>
    <xf numFmtId="189" fontId="122" fillId="65" borderId="50" xfId="0" applyNumberFormat="1" applyFont="1" applyFill="1" applyBorder="1" applyAlignment="1" applyProtection="1">
      <alignment horizontal="center" vertical="center"/>
      <protection locked="0"/>
    </xf>
    <xf numFmtId="198" fontId="19" fillId="38" borderId="48" xfId="0" applyNumberFormat="1" applyFont="1" applyFill="1" applyBorder="1" applyAlignment="1" applyProtection="1">
      <alignment vertical="center"/>
      <protection locked="0"/>
    </xf>
    <xf numFmtId="198" fontId="19" fillId="38" borderId="49" xfId="0" applyNumberFormat="1" applyFont="1" applyFill="1" applyBorder="1" applyAlignment="1" applyProtection="1">
      <alignment vertical="center"/>
      <protection locked="0"/>
    </xf>
    <xf numFmtId="198" fontId="19" fillId="38" borderId="50" xfId="0" applyNumberFormat="1" applyFont="1" applyFill="1" applyBorder="1" applyAlignment="1" applyProtection="1">
      <alignment vertical="center"/>
      <protection locked="0"/>
    </xf>
    <xf numFmtId="180" fontId="2" fillId="0" borderId="54" xfId="0" applyNumberFormat="1" applyFont="1" applyFill="1" applyBorder="1" applyAlignment="1" applyProtection="1">
      <alignment vertical="center"/>
      <protection hidden="1"/>
    </xf>
    <xf numFmtId="180" fontId="2" fillId="0" borderId="55" xfId="0" applyNumberFormat="1" applyFont="1" applyFill="1" applyBorder="1" applyAlignment="1" applyProtection="1">
      <alignment vertical="center"/>
      <protection hidden="1"/>
    </xf>
    <xf numFmtId="180" fontId="2" fillId="0" borderId="56" xfId="0" applyNumberFormat="1" applyFont="1" applyFill="1" applyBorder="1" applyAlignment="1" applyProtection="1">
      <alignment vertical="center"/>
      <protection hidden="1"/>
    </xf>
    <xf numFmtId="180" fontId="19" fillId="38" borderId="48" xfId="0" applyNumberFormat="1" applyFont="1" applyFill="1" applyBorder="1" applyAlignment="1" applyProtection="1">
      <alignment horizontal="right" vertical="center" indent="1"/>
      <protection locked="0"/>
    </xf>
    <xf numFmtId="180" fontId="19" fillId="38" borderId="49" xfId="0" applyNumberFormat="1" applyFont="1" applyFill="1" applyBorder="1" applyAlignment="1" applyProtection="1">
      <alignment horizontal="right" vertical="center" indent="1"/>
      <protection locked="0"/>
    </xf>
    <xf numFmtId="180" fontId="19" fillId="38" borderId="50" xfId="0" applyNumberFormat="1" applyFont="1" applyFill="1" applyBorder="1" applyAlignment="1" applyProtection="1">
      <alignment horizontal="right" vertical="center" indent="1"/>
      <protection locked="0"/>
    </xf>
    <xf numFmtId="0" fontId="21" fillId="31" borderId="57" xfId="0" applyFont="1" applyFill="1" applyBorder="1" applyAlignment="1" applyProtection="1">
      <alignment horizontal="center" vertical="center"/>
      <protection hidden="1"/>
    </xf>
    <xf numFmtId="178" fontId="19" fillId="38" borderId="48" xfId="0" applyNumberFormat="1" applyFont="1" applyFill="1" applyBorder="1" applyAlignment="1" applyProtection="1">
      <alignment horizontal="right" vertical="center" indent="1"/>
      <protection locked="0"/>
    </xf>
    <xf numFmtId="178" fontId="19" fillId="38" borderId="49" xfId="0" applyNumberFormat="1" applyFont="1" applyFill="1" applyBorder="1" applyAlignment="1" applyProtection="1">
      <alignment horizontal="right" vertical="center" indent="1"/>
      <protection locked="0"/>
    </xf>
    <xf numFmtId="178" fontId="19" fillId="38" borderId="50" xfId="0" applyNumberFormat="1" applyFont="1" applyFill="1" applyBorder="1" applyAlignment="1" applyProtection="1">
      <alignment horizontal="right" vertical="center" indent="1"/>
      <protection locked="0"/>
    </xf>
    <xf numFmtId="177" fontId="19" fillId="38" borderId="48" xfId="0" applyNumberFormat="1" applyFont="1" applyFill="1" applyBorder="1" applyAlignment="1" applyProtection="1">
      <alignment vertical="center"/>
      <protection locked="0"/>
    </xf>
    <xf numFmtId="177" fontId="19" fillId="38" borderId="49" xfId="0" applyNumberFormat="1" applyFont="1" applyFill="1" applyBorder="1" applyAlignment="1" applyProtection="1">
      <alignment vertical="center"/>
      <protection locked="0"/>
    </xf>
    <xf numFmtId="177" fontId="19" fillId="38" borderId="50" xfId="0" applyNumberFormat="1" applyFont="1" applyFill="1" applyBorder="1" applyAlignment="1" applyProtection="1">
      <alignment vertical="center"/>
      <protection locked="0"/>
    </xf>
    <xf numFmtId="179" fontId="2" fillId="0" borderId="54" xfId="0" applyNumberFormat="1" applyFont="1" applyFill="1" applyBorder="1" applyAlignment="1" applyProtection="1">
      <alignment vertical="center"/>
      <protection hidden="1"/>
    </xf>
    <xf numFmtId="179" fontId="2" fillId="0" borderId="55" xfId="0" applyNumberFormat="1" applyFont="1" applyFill="1" applyBorder="1" applyAlignment="1" applyProtection="1">
      <alignment vertical="center"/>
      <protection hidden="1"/>
    </xf>
    <xf numFmtId="179" fontId="2" fillId="0" borderId="58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vertical="center"/>
      <protection hidden="1"/>
    </xf>
    <xf numFmtId="177" fontId="2" fillId="0" borderId="41" xfId="0" applyNumberFormat="1" applyFont="1" applyFill="1" applyBorder="1" applyAlignment="1" applyProtection="1">
      <alignment vertical="center"/>
      <protection hidden="1"/>
    </xf>
    <xf numFmtId="177" fontId="2" fillId="0" borderId="59" xfId="0" applyNumberFormat="1" applyFont="1" applyFill="1" applyBorder="1" applyAlignment="1" applyProtection="1">
      <alignment vertical="center"/>
      <protection hidden="1"/>
    </xf>
    <xf numFmtId="206" fontId="2" fillId="0" borderId="20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41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60" xfId="0" applyNumberFormat="1" applyFont="1" applyFill="1" applyBorder="1" applyAlignment="1" applyProtection="1">
      <alignment horizontal="right" vertical="center" indent="1"/>
      <protection hidden="1"/>
    </xf>
    <xf numFmtId="207" fontId="2" fillId="0" borderId="20" xfId="0" applyNumberFormat="1" applyFont="1" applyFill="1" applyBorder="1" applyAlignment="1" applyProtection="1">
      <alignment horizontal="right" vertical="center" indent="1"/>
      <protection hidden="1"/>
    </xf>
    <xf numFmtId="207" fontId="2" fillId="0" borderId="41" xfId="0" applyNumberFormat="1" applyFont="1" applyFill="1" applyBorder="1" applyAlignment="1" applyProtection="1">
      <alignment horizontal="right" vertical="center" indent="1"/>
      <protection hidden="1"/>
    </xf>
    <xf numFmtId="207" fontId="2" fillId="0" borderId="60" xfId="0" applyNumberFormat="1" applyFont="1" applyFill="1" applyBorder="1" applyAlignment="1" applyProtection="1">
      <alignment horizontal="right" vertical="center" indent="1"/>
      <protection hidden="1"/>
    </xf>
    <xf numFmtId="0" fontId="21" fillId="31" borderId="34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41" xfId="0" applyFont="1" applyFill="1" applyBorder="1" applyAlignment="1" applyProtection="1">
      <alignment vertical="center"/>
      <protection hidden="1"/>
    </xf>
    <xf numFmtId="0" fontId="2" fillId="0" borderId="59" xfId="0" applyFont="1" applyFill="1" applyBorder="1" applyAlignment="1" applyProtection="1">
      <alignment vertical="center"/>
      <protection hidden="1"/>
    </xf>
    <xf numFmtId="178" fontId="2" fillId="0" borderId="20" xfId="0" applyNumberFormat="1" applyFont="1" applyFill="1" applyBorder="1" applyAlignment="1" applyProtection="1">
      <alignment vertical="center"/>
      <protection hidden="1"/>
    </xf>
    <xf numFmtId="178" fontId="2" fillId="0" borderId="41" xfId="0" applyNumberFormat="1" applyFont="1" applyFill="1" applyBorder="1" applyAlignment="1" applyProtection="1">
      <alignment vertical="center"/>
      <protection hidden="1"/>
    </xf>
    <xf numFmtId="178" fontId="2" fillId="0" borderId="59" xfId="0" applyNumberFormat="1" applyFont="1" applyFill="1" applyBorder="1" applyAlignment="1" applyProtection="1">
      <alignment vertical="center"/>
      <protection hidden="1"/>
    </xf>
    <xf numFmtId="180" fontId="19" fillId="38" borderId="48" xfId="0" applyNumberFormat="1" applyFont="1" applyFill="1" applyBorder="1" applyAlignment="1" applyProtection="1" quotePrefix="1">
      <alignment horizontal="center" vertical="center"/>
      <protection hidden="1"/>
    </xf>
    <xf numFmtId="180" fontId="19" fillId="38" borderId="49" xfId="0" applyNumberFormat="1" applyFont="1" applyFill="1" applyBorder="1" applyAlignment="1" applyProtection="1" quotePrefix="1">
      <alignment horizontal="center" vertical="center"/>
      <protection hidden="1"/>
    </xf>
    <xf numFmtId="180" fontId="19" fillId="38" borderId="50" xfId="0" applyNumberFormat="1" applyFont="1" applyFill="1" applyBorder="1" applyAlignment="1" applyProtection="1" quotePrefix="1">
      <alignment horizontal="center" vertical="center"/>
      <protection hidden="1"/>
    </xf>
    <xf numFmtId="0" fontId="122" fillId="67" borderId="0" xfId="0" applyFont="1" applyFill="1" applyBorder="1" applyAlignment="1" applyProtection="1">
      <alignment horizontal="center" vertical="center"/>
      <protection locked="0"/>
    </xf>
    <xf numFmtId="0" fontId="21" fillId="31" borderId="32" xfId="0" applyFont="1" applyFill="1" applyBorder="1" applyAlignment="1" applyProtection="1">
      <alignment horizontal="center" vertical="center"/>
      <protection hidden="1"/>
    </xf>
    <xf numFmtId="180" fontId="19" fillId="50" borderId="48" xfId="0" applyNumberFormat="1" applyFont="1" applyFill="1" applyBorder="1" applyAlignment="1" applyProtection="1">
      <alignment horizontal="right" vertical="center" indent="1"/>
      <protection locked="0"/>
    </xf>
    <xf numFmtId="180" fontId="19" fillId="50" borderId="49" xfId="0" applyNumberFormat="1" applyFont="1" applyFill="1" applyBorder="1" applyAlignment="1" applyProtection="1">
      <alignment horizontal="right" vertical="center" indent="1"/>
      <protection locked="0"/>
    </xf>
    <xf numFmtId="180" fontId="19" fillId="50" borderId="50" xfId="0" applyNumberFormat="1" applyFont="1" applyFill="1" applyBorder="1" applyAlignment="1" applyProtection="1">
      <alignment horizontal="right" vertical="center" indent="1"/>
      <protection locked="0"/>
    </xf>
    <xf numFmtId="178" fontId="19" fillId="50" borderId="48" xfId="0" applyNumberFormat="1" applyFont="1" applyFill="1" applyBorder="1" applyAlignment="1" applyProtection="1">
      <alignment horizontal="right" vertical="center" indent="1"/>
      <protection locked="0"/>
    </xf>
    <xf numFmtId="178" fontId="19" fillId="50" borderId="49" xfId="0" applyNumberFormat="1" applyFont="1" applyFill="1" applyBorder="1" applyAlignment="1" applyProtection="1">
      <alignment horizontal="right" vertical="center" indent="1"/>
      <protection locked="0"/>
    </xf>
    <xf numFmtId="178" fontId="19" fillId="50" borderId="50" xfId="0" applyNumberFormat="1" applyFont="1" applyFill="1" applyBorder="1" applyAlignment="1" applyProtection="1">
      <alignment horizontal="right" vertical="center" indent="1"/>
      <protection locked="0"/>
    </xf>
    <xf numFmtId="0" fontId="4" fillId="0" borderId="6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4" fillId="0" borderId="3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center" vertical="center" textRotation="90" wrapText="1"/>
      <protection hidden="1"/>
    </xf>
    <xf numFmtId="0" fontId="4" fillId="0" borderId="51" xfId="0" applyFont="1" applyBorder="1" applyAlignment="1" applyProtection="1">
      <alignment horizontal="center" vertical="center" textRotation="90" wrapText="1"/>
      <protection hidden="1"/>
    </xf>
    <xf numFmtId="178" fontId="2" fillId="0" borderId="62" xfId="0" applyNumberFormat="1" applyFont="1" applyFill="1" applyBorder="1" applyAlignment="1" applyProtection="1">
      <alignment horizontal="right" vertical="center" indent="1"/>
      <protection hidden="1"/>
    </xf>
    <xf numFmtId="178" fontId="2" fillId="0" borderId="63" xfId="0" applyNumberFormat="1" applyFont="1" applyFill="1" applyBorder="1" applyAlignment="1" applyProtection="1">
      <alignment horizontal="right" vertical="center" indent="1"/>
      <protection hidden="1"/>
    </xf>
    <xf numFmtId="178" fontId="2" fillId="0" borderId="64" xfId="0" applyNumberFormat="1" applyFont="1" applyFill="1" applyBorder="1" applyAlignment="1" applyProtection="1">
      <alignment horizontal="right" vertical="center" indent="1"/>
      <protection hidden="1"/>
    </xf>
    <xf numFmtId="192" fontId="10" fillId="68" borderId="0" xfId="0" applyNumberFormat="1" applyFont="1" applyFill="1" applyAlignment="1" applyProtection="1">
      <alignment horizontal="left" vertical="center" wrapText="1"/>
      <protection hidden="1"/>
    </xf>
    <xf numFmtId="194" fontId="0" fillId="34" borderId="0" xfId="0" applyNumberFormat="1" applyFill="1" applyAlignment="1" applyProtection="1">
      <alignment horizontal="left" vertical="center"/>
      <protection hidden="1"/>
    </xf>
    <xf numFmtId="196" fontId="110" fillId="0" borderId="0" xfId="0" applyNumberFormat="1" applyFont="1" applyFill="1" applyBorder="1" applyAlignment="1" applyProtection="1">
      <alignment horizontal="left" vertical="center"/>
      <protection hidden="1"/>
    </xf>
    <xf numFmtId="0" fontId="23" fillId="34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180" fontId="19" fillId="50" borderId="48" xfId="0" applyNumberFormat="1" applyFont="1" applyFill="1" applyBorder="1" applyAlignment="1" applyProtection="1">
      <alignment horizontal="right" vertical="center" indent="2"/>
      <protection hidden="1"/>
    </xf>
    <xf numFmtId="180" fontId="19" fillId="50" borderId="49" xfId="0" applyNumberFormat="1" applyFont="1" applyFill="1" applyBorder="1" applyAlignment="1" applyProtection="1">
      <alignment horizontal="right" vertical="center" indent="2"/>
      <protection hidden="1"/>
    </xf>
    <xf numFmtId="180" fontId="19" fillId="50" borderId="50" xfId="0" applyNumberFormat="1" applyFont="1" applyFill="1" applyBorder="1" applyAlignment="1" applyProtection="1">
      <alignment horizontal="right" vertical="center" indent="2"/>
      <protection hidden="1"/>
    </xf>
    <xf numFmtId="180" fontId="19" fillId="38" borderId="48" xfId="0" applyNumberFormat="1" applyFont="1" applyFill="1" applyBorder="1" applyAlignment="1" applyProtection="1">
      <alignment horizontal="right" vertical="center" indent="2"/>
      <protection hidden="1"/>
    </xf>
    <xf numFmtId="180" fontId="19" fillId="38" borderId="49" xfId="0" applyNumberFormat="1" applyFont="1" applyFill="1" applyBorder="1" applyAlignment="1" applyProtection="1">
      <alignment horizontal="right" vertical="center" indent="2"/>
      <protection hidden="1"/>
    </xf>
    <xf numFmtId="180" fontId="19" fillId="38" borderId="50" xfId="0" applyNumberFormat="1" applyFont="1" applyFill="1" applyBorder="1" applyAlignment="1" applyProtection="1">
      <alignment horizontal="right" vertical="center" indent="2"/>
      <protection hidden="1"/>
    </xf>
    <xf numFmtId="178" fontId="19" fillId="50" borderId="48" xfId="0" applyNumberFormat="1" applyFont="1" applyFill="1" applyBorder="1" applyAlignment="1" applyProtection="1">
      <alignment horizontal="right" vertical="center" indent="2"/>
      <protection hidden="1"/>
    </xf>
    <xf numFmtId="178" fontId="19" fillId="50" borderId="49" xfId="0" applyNumberFormat="1" applyFont="1" applyFill="1" applyBorder="1" applyAlignment="1" applyProtection="1">
      <alignment horizontal="right" vertical="center" indent="2"/>
      <protection hidden="1"/>
    </xf>
    <xf numFmtId="178" fontId="19" fillId="50" borderId="50" xfId="0" applyNumberFormat="1" applyFont="1" applyFill="1" applyBorder="1" applyAlignment="1" applyProtection="1">
      <alignment horizontal="right" vertical="center" indent="2"/>
      <protection hidden="1"/>
    </xf>
    <xf numFmtId="178" fontId="2" fillId="0" borderId="62" xfId="0" applyNumberFormat="1" applyFont="1" applyFill="1" applyBorder="1" applyAlignment="1" applyProtection="1">
      <alignment horizontal="right" vertical="center" indent="2"/>
      <protection hidden="1"/>
    </xf>
    <xf numFmtId="178" fontId="2" fillId="0" borderId="63" xfId="0" applyNumberFormat="1" applyFont="1" applyFill="1" applyBorder="1" applyAlignment="1" applyProtection="1">
      <alignment horizontal="right" vertical="center" indent="2"/>
      <protection hidden="1"/>
    </xf>
    <xf numFmtId="178" fontId="2" fillId="0" borderId="64" xfId="0" applyNumberFormat="1" applyFont="1" applyFill="1" applyBorder="1" applyAlignment="1" applyProtection="1">
      <alignment horizontal="right" vertical="center" indent="2"/>
      <protection hidden="1"/>
    </xf>
    <xf numFmtId="198" fontId="19" fillId="38" borderId="48" xfId="0" applyNumberFormat="1" applyFont="1" applyFill="1" applyBorder="1" applyAlignment="1" applyProtection="1">
      <alignment vertical="center"/>
      <protection hidden="1"/>
    </xf>
    <xf numFmtId="198" fontId="19" fillId="38" borderId="49" xfId="0" applyNumberFormat="1" applyFont="1" applyFill="1" applyBorder="1" applyAlignment="1" applyProtection="1">
      <alignment vertical="center"/>
      <protection hidden="1"/>
    </xf>
    <xf numFmtId="198" fontId="19" fillId="38" borderId="50" xfId="0" applyNumberFormat="1" applyFont="1" applyFill="1" applyBorder="1" applyAlignment="1" applyProtection="1">
      <alignment vertical="center"/>
      <protection hidden="1"/>
    </xf>
    <xf numFmtId="0" fontId="2" fillId="0" borderId="60" xfId="0" applyFont="1" applyFill="1" applyBorder="1" applyAlignment="1" applyProtection="1">
      <alignment vertical="center"/>
      <protection hidden="1"/>
    </xf>
    <xf numFmtId="178" fontId="2" fillId="0" borderId="60" xfId="0" applyNumberFormat="1" applyFont="1" applyFill="1" applyBorder="1" applyAlignment="1" applyProtection="1">
      <alignment vertical="center"/>
      <protection hidden="1"/>
    </xf>
    <xf numFmtId="178" fontId="19" fillId="38" borderId="48" xfId="0" applyNumberFormat="1" applyFont="1" applyFill="1" applyBorder="1" applyAlignment="1" applyProtection="1">
      <alignment horizontal="right" vertical="center" indent="2"/>
      <protection hidden="1"/>
    </xf>
    <xf numFmtId="178" fontId="19" fillId="38" borderId="49" xfId="0" applyNumberFormat="1" applyFont="1" applyFill="1" applyBorder="1" applyAlignment="1" applyProtection="1">
      <alignment horizontal="right" vertical="center" indent="2"/>
      <protection hidden="1"/>
    </xf>
    <xf numFmtId="178" fontId="19" fillId="38" borderId="50" xfId="0" applyNumberFormat="1" applyFont="1" applyFill="1" applyBorder="1" applyAlignment="1" applyProtection="1">
      <alignment horizontal="right" vertical="center" indent="2"/>
      <protection hidden="1"/>
    </xf>
    <xf numFmtId="180" fontId="19" fillId="38" borderId="48" xfId="0" applyNumberFormat="1" applyFont="1" applyFill="1" applyBorder="1" applyAlignment="1" applyProtection="1">
      <alignment vertical="center"/>
      <protection hidden="1"/>
    </xf>
    <xf numFmtId="180" fontId="19" fillId="38" borderId="49" xfId="0" applyNumberFormat="1" applyFont="1" applyFill="1" applyBorder="1" applyAlignment="1" applyProtection="1">
      <alignment vertical="center"/>
      <protection hidden="1"/>
    </xf>
    <xf numFmtId="180" fontId="19" fillId="38" borderId="50" xfId="0" applyNumberFormat="1" applyFont="1" applyFill="1" applyBorder="1" applyAlignment="1" applyProtection="1">
      <alignment vertical="center"/>
      <protection hidden="1"/>
    </xf>
    <xf numFmtId="0" fontId="122" fillId="67" borderId="0" xfId="0" applyFont="1" applyFill="1" applyBorder="1" applyAlignment="1" applyProtection="1">
      <alignment horizontal="center" vertical="center"/>
      <protection hidden="1"/>
    </xf>
    <xf numFmtId="0" fontId="30" fillId="31" borderId="0" xfId="0" applyFont="1" applyFill="1" applyBorder="1" applyAlignment="1" applyProtection="1">
      <alignment horizontal="center" vertical="center"/>
      <protection hidden="1"/>
    </xf>
    <xf numFmtId="204" fontId="2" fillId="51" borderId="0" xfId="0" applyNumberFormat="1" applyFont="1" applyFill="1" applyBorder="1" applyAlignment="1" applyProtection="1">
      <alignment horizontal="left" vertical="center" indent="1"/>
      <protection hidden="1"/>
    </xf>
    <xf numFmtId="177" fontId="19" fillId="38" borderId="48" xfId="0" applyNumberFormat="1" applyFont="1" applyFill="1" applyBorder="1" applyAlignment="1" applyProtection="1">
      <alignment vertical="center"/>
      <protection hidden="1"/>
    </xf>
    <xf numFmtId="177" fontId="19" fillId="38" borderId="49" xfId="0" applyNumberFormat="1" applyFont="1" applyFill="1" applyBorder="1" applyAlignment="1" applyProtection="1">
      <alignment vertical="center"/>
      <protection hidden="1"/>
    </xf>
    <xf numFmtId="177" fontId="19" fillId="38" borderId="50" xfId="0" applyNumberFormat="1" applyFont="1" applyFill="1" applyBorder="1" applyAlignment="1" applyProtection="1">
      <alignment vertical="center"/>
      <protection hidden="1"/>
    </xf>
    <xf numFmtId="179" fontId="2" fillId="0" borderId="56" xfId="0" applyNumberFormat="1" applyFont="1" applyFill="1" applyBorder="1" applyAlignment="1" applyProtection="1">
      <alignment vertical="center"/>
      <protection hidden="1"/>
    </xf>
    <xf numFmtId="177" fontId="2" fillId="0" borderId="60" xfId="0" applyNumberFormat="1" applyFont="1" applyFill="1" applyBorder="1" applyAlignment="1" applyProtection="1">
      <alignment vertical="center"/>
      <protection hidden="1"/>
    </xf>
    <xf numFmtId="178" fontId="2" fillId="0" borderId="21" xfId="0" applyNumberFormat="1" applyFont="1" applyFill="1" applyBorder="1" applyAlignment="1" applyProtection="1">
      <alignment horizontal="right" vertical="center" indent="2"/>
      <protection hidden="1"/>
    </xf>
    <xf numFmtId="178" fontId="2" fillId="0" borderId="52" xfId="0" applyNumberFormat="1" applyFont="1" applyFill="1" applyBorder="1" applyAlignment="1" applyProtection="1">
      <alignment horizontal="right" vertical="center" indent="2"/>
      <protection hidden="1"/>
    </xf>
    <xf numFmtId="178" fontId="2" fillId="0" borderId="53" xfId="0" applyNumberFormat="1" applyFont="1" applyFill="1" applyBorder="1" applyAlignment="1" applyProtection="1">
      <alignment horizontal="right" vertical="center" indent="2"/>
      <protection hidden="1"/>
    </xf>
    <xf numFmtId="180" fontId="118" fillId="67" borderId="48" xfId="0" applyNumberFormat="1" applyFont="1" applyFill="1" applyBorder="1" applyAlignment="1" applyProtection="1">
      <alignment horizontal="center" vertical="center"/>
      <protection hidden="1"/>
    </xf>
    <xf numFmtId="180" fontId="118" fillId="67" borderId="49" xfId="0" applyNumberFormat="1" applyFont="1" applyFill="1" applyBorder="1" applyAlignment="1" applyProtection="1">
      <alignment horizontal="center" vertical="center"/>
      <protection hidden="1"/>
    </xf>
    <xf numFmtId="180" fontId="118" fillId="67" borderId="50" xfId="0" applyNumberFormat="1" applyFont="1" applyFill="1" applyBorder="1" applyAlignment="1" applyProtection="1">
      <alignment horizontal="center" vertical="center"/>
      <protection hidden="1"/>
    </xf>
    <xf numFmtId="189" fontId="122" fillId="65" borderId="48" xfId="0" applyNumberFormat="1" applyFont="1" applyFill="1" applyBorder="1" applyAlignment="1" applyProtection="1">
      <alignment horizontal="center" vertical="center"/>
      <protection hidden="1"/>
    </xf>
    <xf numFmtId="189" fontId="122" fillId="65" borderId="50" xfId="0" applyNumberFormat="1" applyFont="1" applyFill="1" applyBorder="1" applyAlignment="1" applyProtection="1">
      <alignment horizontal="center" vertical="center"/>
      <protection hidden="1"/>
    </xf>
    <xf numFmtId="216" fontId="115" fillId="0" borderId="0" xfId="52" applyNumberFormat="1" applyFont="1" applyAlignment="1">
      <alignment horizontal="right" vertical="center"/>
      <protection hidden="1"/>
    </xf>
  </cellXfs>
  <cellStyles count="10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bzug-Währung mit 2 Komma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Berechnung-Währung mit 2 Komma" xfId="42"/>
    <cellStyle name="Berechnung-Währung mit 2 Komma-Fett" xfId="43"/>
    <cellStyle name="Followed Hyperlink" xfId="44"/>
    <cellStyle name="d1" xfId="45"/>
    <cellStyle name="d2l" xfId="46"/>
    <cellStyle name="d2r" xfId="47"/>
    <cellStyle name="d3l" xfId="48"/>
    <cellStyle name="d3r" xfId="49"/>
    <cellStyle name="D-Angaben" xfId="50"/>
    <cellStyle name="Dateneingabe-Überschrift3" xfId="51"/>
    <cellStyle name="D-Copyright" xfId="52"/>
    <cellStyle name="D-Eingabefelder" xfId="53"/>
    <cellStyle name="D-Euro8F" xfId="54"/>
    <cellStyle name="Comma" xfId="55"/>
    <cellStyle name="Comma [0]" xfId="56"/>
    <cellStyle name="D-Grau" xfId="57"/>
    <cellStyle name="D-Grau-Unterstirch-hell" xfId="58"/>
    <cellStyle name="D-Hilfetext" xfId="59"/>
    <cellStyle name="Diabeschreibung" xfId="60"/>
    <cellStyle name="DiabeZeile1" xfId="61"/>
    <cellStyle name="Dialog_Elemente" xfId="62"/>
    <cellStyle name="D-Jahr8F" xfId="63"/>
    <cellStyle name="D-Jahre8F" xfId="64"/>
    <cellStyle name="D-Prozent8Blau" xfId="65"/>
    <cellStyle name="D-Prozent8F" xfId="66"/>
    <cellStyle name="D-Stunden8F" xfId="67"/>
    <cellStyle name="D-Text" xfId="68"/>
    <cellStyle name="D-Text12" xfId="69"/>
    <cellStyle name="D-Text12F" xfId="70"/>
    <cellStyle name="D-Text8" xfId="71"/>
    <cellStyle name="D-Text8ArialBlack" xfId="72"/>
    <cellStyle name="D-Text8F" xfId="73"/>
    <cellStyle name="D-Text8Schwarz" xfId="74"/>
    <cellStyle name="D-Text8SchwarzF" xfId="75"/>
    <cellStyle name="D-Überschrift" xfId="76"/>
    <cellStyle name="D-Weiß12" xfId="77"/>
    <cellStyle name="e1" xfId="78"/>
    <cellStyle name="Eingabe" xfId="79"/>
    <cellStyle name="Ergebnis" xfId="80"/>
    <cellStyle name="Erklärender Text" xfId="81"/>
    <cellStyle name="Euro" xfId="82"/>
    <cellStyle name="Formel-Fett" xfId="83"/>
    <cellStyle name="Formel-Rabatt-Prozent ohne Komma" xfId="84"/>
    <cellStyle name="Formel-Skonto-Prozent ohne Komma" xfId="85"/>
    <cellStyle name="Formel-Standard" xfId="86"/>
    <cellStyle name="grau" xfId="87"/>
    <cellStyle name="grün" xfId="88"/>
    <cellStyle name="Gut" xfId="89"/>
    <cellStyle name="Hyperlink" xfId="90"/>
    <cellStyle name="Leerzelle" xfId="91"/>
    <cellStyle name="Makro_Aufruf" xfId="92"/>
    <cellStyle name="Makrobefehle" xfId="93"/>
    <cellStyle name="Makrobeginn" xfId="94"/>
    <cellStyle name="Makrobezeichnung" xfId="95"/>
    <cellStyle name="Makrocode" xfId="96"/>
    <cellStyle name="Makroende" xfId="97"/>
    <cellStyle name="Menübeschreibung" xfId="98"/>
    <cellStyle name="Namen_Bereich" xfId="99"/>
    <cellStyle name="Namensliste" xfId="100"/>
    <cellStyle name="Neutral" xfId="101"/>
    <cellStyle name="Notiz" xfId="102"/>
    <cellStyle name="Percent" xfId="103"/>
    <cellStyle name="Rot" xfId="104"/>
    <cellStyle name="Schlecht" xfId="105"/>
    <cellStyle name="Schleife" xfId="106"/>
    <cellStyle name="Schleifenbeginn" xfId="107"/>
    <cellStyle name="Schleifenende" xfId="108"/>
    <cellStyle name="Standard 2" xfId="109"/>
    <cellStyle name="Suchkriterien" xfId="110"/>
    <cellStyle name="Überschrift" xfId="111"/>
    <cellStyle name="Überschrift 1" xfId="112"/>
    <cellStyle name="Überschrift 2" xfId="113"/>
    <cellStyle name="Überschrift 3" xfId="114"/>
    <cellStyle name="Überschrift 4" xfId="115"/>
    <cellStyle name="Verknüpfte Zelle" xfId="116"/>
    <cellStyle name="Currency" xfId="117"/>
    <cellStyle name="Currency [0]" xfId="118"/>
    <cellStyle name="Warnender Text" xfId="119"/>
    <cellStyle name="Wenn_Bedingung" xfId="120"/>
    <cellStyle name="zahlen" xfId="121"/>
    <cellStyle name="Zelle überprüfen" xfId="122"/>
  </cellStyles>
  <dxfs count="41">
    <dxf>
      <font>
        <strike val="0"/>
        <name val="Cambria"/>
        <color rgb="FFC0C0C0"/>
      </font>
      <fill>
        <patternFill>
          <bgColor rgb="FFC0C0C0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C0C0C0"/>
      </font>
      <fill>
        <patternFill>
          <bgColor rgb="FFC0C0C0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name val="Cambria"/>
        <color rgb="FFC0C0C0"/>
      </font>
      <fill>
        <patternFill>
          <bgColor rgb="FFC0C0C0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C0C0C0"/>
      </font>
      <fill>
        <patternFill>
          <bgColor rgb="FFC0C0C0"/>
        </patternFill>
      </fill>
      <border>
        <left/>
        <right/>
        <top/>
        <bottom/>
      </border>
    </dxf>
    <dxf>
      <fill>
        <patternFill>
          <bgColor rgb="FFC0C0C0"/>
        </patternFill>
      </fill>
      <border>
        <left/>
        <right/>
        <top/>
        <bottom/>
      </border>
    </dxf>
    <dxf>
      <font>
        <color indexed="55"/>
      </font>
      <fill>
        <patternFill>
          <bgColor indexed="55"/>
        </patternFill>
      </fill>
      <border>
        <left/>
        <right/>
        <top/>
        <bottom/>
      </border>
    </dxf>
    <dxf>
      <font>
        <color indexed="55"/>
      </font>
      <fill>
        <patternFill>
          <bgColor indexed="55"/>
        </patternFill>
      </fill>
      <border>
        <left/>
        <right/>
        <top/>
        <bottom/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AEAEA"/>
      </font>
      <fill>
        <patternFill>
          <bgColor rgb="FFEAEAE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CDAE0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F1F3"/>
      <rgbColor rgb="00CCFFFF"/>
      <rgbColor rgb="00E8FBAD"/>
      <rgbColor rgb="00FFFFCC"/>
      <rgbColor rgb="00CCCCFF"/>
      <rgbColor rgb="00FF99CC"/>
      <rgbColor rgb="00CC99FF"/>
      <rgbColor rgb="00FDEA9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45"/>
          <c:w val="0.9142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Berechnung!$M$37:$M$44</c:f>
              <c:numCache/>
            </c:numRef>
          </c:cat>
          <c:val>
            <c:numRef>
              <c:f>Berechnung!$U$14</c:f>
              <c:numCache/>
            </c:numRef>
          </c:val>
        </c:ser>
        <c:ser>
          <c:idx val="1"/>
          <c:order val="1"/>
          <c:tx>
            <c:v>U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Berechnung!$M$37:$M$44</c:f>
              <c:numCache/>
            </c:numRef>
          </c:cat>
          <c:val>
            <c:numRef>
              <c:f>Berechnung!$U$15</c:f>
              <c:numCache/>
            </c:numRef>
          </c:val>
        </c:ser>
        <c:ser>
          <c:idx val="2"/>
          <c:order val="2"/>
          <c:tx>
            <c:v>V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Berechnung!$M$37:$M$44</c:f>
              <c:numCache/>
            </c:numRef>
          </c:cat>
          <c:val>
            <c:numRef>
              <c:f>Berechnung!$U$16</c:f>
              <c:numCache/>
            </c:numRef>
          </c:val>
        </c:ser>
        <c:ser>
          <c:idx val="3"/>
          <c:order val="3"/>
          <c:tx>
            <c:v>Z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Berechnung!$M$37:$M$44</c:f>
              <c:numCache/>
            </c:numRef>
          </c:cat>
          <c:val>
            <c:numRef>
              <c:f>Berechnung!$U$17</c:f>
              <c:numCache/>
            </c:numRef>
          </c:val>
        </c:ser>
        <c:ser>
          <c:idx val="5"/>
          <c:order val="4"/>
          <c:tx>
            <c:v>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Berechnung!$M$37:$M$44</c:f>
              <c:numCache/>
            </c:numRef>
          </c:cat>
          <c:val>
            <c:numRef>
              <c:f>Berechnung!$U$18</c:f>
              <c:numCache/>
            </c:numRef>
          </c:val>
        </c:ser>
        <c:ser>
          <c:idx val="4"/>
          <c:order val="5"/>
          <c:tx>
            <c:v>R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Berechnung!$M$37:$M$44</c:f>
              <c:numCache/>
            </c:numRef>
          </c:cat>
          <c:val>
            <c:numRef>
              <c:f>Berechnung!$U$19</c:f>
              <c:numCache/>
            </c:numRef>
          </c:val>
        </c:ser>
        <c:overlap val="-80"/>
        <c:gapWidth val="60"/>
        <c:axId val="34510002"/>
        <c:axId val="42154563"/>
      </c:bar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 / Betriebsstunde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\-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Hilfe!$B$23:$G$29</c:f>
              <c:multiLvlStrCache/>
            </c:multiLvlStrRef>
          </c:cat>
          <c:val>
            <c:numRef>
              <c:f>Berechnung!$U$14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Hilfe!$B$23:$G$29</c:f>
              <c:multiLvlStrCache/>
            </c:multiLvlStrRef>
          </c:cat>
          <c:val>
            <c:numRef>
              <c:f>Berechnung!$U$15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V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Hilfe!$B$23:$G$29</c:f>
              <c:multiLvlStrCache/>
            </c:multiLvlStrRef>
          </c:cat>
          <c:val>
            <c:numRef>
              <c:f>Berechnung!$U$16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Z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Hilfe!$B$23:$G$29</c:f>
              <c:multiLvlStrCache/>
            </c:multiLvlStrRef>
          </c:cat>
          <c:val>
            <c:numRef>
              <c:f>Berechnung!$U$17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v>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Hilfe!$B$23:$G$29</c:f>
              <c:multiLvlStrCache/>
            </c:multiLvlStrRef>
          </c:cat>
          <c:val>
            <c:numRef>
              <c:f>Berechnung!$U$18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v>R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Hilfe!$B$23:$G$29</c:f>
              <c:multiLvlStrCache/>
            </c:multiLvlStrRef>
          </c:cat>
          <c:val>
            <c:numRef>
              <c:f>Berechnung!$U$19</c:f>
              <c:numCache>
                <c:ptCount val="1"/>
                <c:pt idx="0">
                  <c:v>0</c:v>
                </c:pt>
              </c:numCache>
            </c:numRef>
          </c:val>
        </c:ser>
        <c:overlap val="-80"/>
        <c:gapWidth val="60"/>
        <c:axId val="43846748"/>
        <c:axId val="59076413"/>
      </c:barChart>
      <c:catAx>
        <c:axId val="43846748"/>
        <c:scaling>
          <c:orientation val="minMax"/>
        </c:scaling>
        <c:axPos val="b"/>
        <c:delete val="1"/>
        <c:majorTickMark val="out"/>
        <c:minorTickMark val="none"/>
        <c:tickLblPos val="none"/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 / Betriebsstunde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\-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erechnung!H1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C6" /><Relationship Id="rId2" Type="http://schemas.openxmlformats.org/officeDocument/2006/relationships/hyperlink" Target="#Korrektur!A1" /><Relationship Id="rId3" Type="http://schemas.openxmlformats.org/officeDocument/2006/relationships/hyperlink" Target="#Hilfe!B5:S11" /><Relationship Id="rId4" Type="http://schemas.openxmlformats.org/officeDocument/2006/relationships/chart" Target="/xl/charts/chart1.xml" /><Relationship Id="rId5" Type="http://schemas.openxmlformats.org/officeDocument/2006/relationships/hyperlink" Target="#Hilfe!B15:S20" /><Relationship Id="rId6" Type="http://schemas.openxmlformats.org/officeDocument/2006/relationships/hyperlink" Target="#Hilfe!B37:S40" /><Relationship Id="rId7" Type="http://schemas.openxmlformats.org/officeDocument/2006/relationships/hyperlink" Target="#Hilfe!B55:S58" /><Relationship Id="rId8" Type="http://schemas.openxmlformats.org/officeDocument/2006/relationships/hyperlink" Target="#Hilfe!B73:S89" /><Relationship Id="rId9" Type="http://schemas.openxmlformats.org/officeDocument/2006/relationships/hyperlink" Target="#Hilfe!B95:S11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Berechnung!H10" /><Relationship Id="rId2" Type="http://schemas.openxmlformats.org/officeDocument/2006/relationships/hyperlink" Target="#Dateneingabe!C6" /><Relationship Id="rId3" Type="http://schemas.openxmlformats.org/officeDocument/2006/relationships/hyperlink" Target="#Hilfe!B5:S11" /><Relationship Id="rId4" Type="http://schemas.openxmlformats.org/officeDocument/2006/relationships/hyperlink" Target="#Hilfe!B15:S20" /><Relationship Id="rId5" Type="http://schemas.openxmlformats.org/officeDocument/2006/relationships/hyperlink" Target="#Hilfe!B37:S40" /><Relationship Id="rId6" Type="http://schemas.openxmlformats.org/officeDocument/2006/relationships/hyperlink" Target="#Hilfe!B55:S58" /><Relationship Id="rId7" Type="http://schemas.openxmlformats.org/officeDocument/2006/relationships/hyperlink" Target="#Hilfe!B73:S89" /><Relationship Id="rId8" Type="http://schemas.openxmlformats.org/officeDocument/2006/relationships/hyperlink" Target="#Hilfe!B95:S11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C6" /><Relationship Id="rId2" Type="http://schemas.openxmlformats.org/officeDocument/2006/relationships/hyperlink" Target="#Korrektur!A1" /><Relationship Id="rId3" Type="http://schemas.openxmlformats.org/officeDocument/2006/relationships/hyperlink" Target="#Berechnung!H14" /><Relationship Id="rId4" Type="http://schemas.openxmlformats.org/officeDocument/2006/relationships/hyperlink" Target="#Berechnung!O21" /><Relationship Id="rId5" Type="http://schemas.openxmlformats.org/officeDocument/2006/relationships/hyperlink" Target="#Berechnung!O26" /><Relationship Id="rId6" Type="http://schemas.openxmlformats.org/officeDocument/2006/relationships/chart" Target="/xl/charts/chart2.xml" /><Relationship Id="rId7" Type="http://schemas.openxmlformats.org/officeDocument/2006/relationships/hyperlink" Target="#Berechnung!H10" /><Relationship Id="rId8" Type="http://schemas.openxmlformats.org/officeDocument/2006/relationships/hyperlink" Target="#Berechnung!G39" /><Relationship Id="rId9" Type="http://schemas.openxmlformats.org/officeDocument/2006/relationships/hyperlink" Target="#Berechnung!I5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247650</xdr:rowOff>
    </xdr:from>
    <xdr:to>
      <xdr:col>6</xdr:col>
      <xdr:colOff>266700</xdr:colOff>
      <xdr:row>16</xdr:row>
      <xdr:rowOff>200025</xdr:rowOff>
    </xdr:to>
    <xdr:grpSp>
      <xdr:nvGrpSpPr>
        <xdr:cNvPr id="1" name="Gruppieren 24"/>
        <xdr:cNvGrpSpPr>
          <a:grpSpLocks/>
        </xdr:cNvGrpSpPr>
      </xdr:nvGrpSpPr>
      <xdr:grpSpPr>
        <a:xfrm>
          <a:off x="361950" y="2314575"/>
          <a:ext cx="6477000" cy="1714500"/>
          <a:chOff x="361950" y="1866900"/>
          <a:chExt cx="6480000" cy="1714500"/>
        </a:xfrm>
        <a:solidFill>
          <a:srgbClr val="FFFFFF"/>
        </a:solidFill>
      </xdr:grpSpPr>
      <xdr:sp>
        <xdr:nvSpPr>
          <xdr:cNvPr id="2" name="Rechteck 23"/>
          <xdr:cNvSpPr>
            <a:spLocks/>
          </xdr:cNvSpPr>
        </xdr:nvSpPr>
        <xdr:spPr>
          <a:xfrm>
            <a:off x="361950" y="1962055"/>
            <a:ext cx="6480000" cy="1619345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742650" y="1866900"/>
            <a:ext cx="942840" cy="190310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3600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Betriebsdaten</a:t>
            </a:r>
          </a:p>
        </xdr:txBody>
      </xdr:sp>
    </xdr:grpSp>
    <xdr:clientData/>
  </xdr:twoCellAnchor>
  <xdr:twoCellAnchor>
    <xdr:from>
      <xdr:col>0</xdr:col>
      <xdr:colOff>361950</xdr:colOff>
      <xdr:row>16</xdr:row>
      <xdr:rowOff>533400</xdr:rowOff>
    </xdr:from>
    <xdr:to>
      <xdr:col>6</xdr:col>
      <xdr:colOff>266700</xdr:colOff>
      <xdr:row>30</xdr:row>
      <xdr:rowOff>104775</xdr:rowOff>
    </xdr:to>
    <xdr:grpSp>
      <xdr:nvGrpSpPr>
        <xdr:cNvPr id="4" name="Gruppieren 25"/>
        <xdr:cNvGrpSpPr>
          <a:grpSpLocks/>
        </xdr:cNvGrpSpPr>
      </xdr:nvGrpSpPr>
      <xdr:grpSpPr>
        <a:xfrm>
          <a:off x="361950" y="4362450"/>
          <a:ext cx="6477000" cy="2600325"/>
          <a:chOff x="361950" y="1866900"/>
          <a:chExt cx="6480000" cy="2662815"/>
        </a:xfrm>
        <a:solidFill>
          <a:srgbClr val="FFFFFF"/>
        </a:solidFill>
      </xdr:grpSpPr>
      <xdr:sp>
        <xdr:nvSpPr>
          <xdr:cNvPr id="5" name="Rechteck 26"/>
          <xdr:cNvSpPr>
            <a:spLocks/>
          </xdr:cNvSpPr>
        </xdr:nvSpPr>
        <xdr:spPr>
          <a:xfrm>
            <a:off x="361950" y="1964758"/>
            <a:ext cx="6480000" cy="25649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3"/>
          <xdr:cNvSpPr txBox="1">
            <a:spLocks noChangeArrowheads="1"/>
          </xdr:cNvSpPr>
        </xdr:nvSpPr>
        <xdr:spPr>
          <a:xfrm>
            <a:off x="742650" y="1866900"/>
            <a:ext cx="1590840" cy="185731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3600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ÖKL bzw. betriebliche Werte</a:t>
            </a:r>
          </a:p>
        </xdr:txBody>
      </xdr:sp>
    </xdr:grpSp>
    <xdr:clientData/>
  </xdr:twoCellAnchor>
  <xdr:twoCellAnchor>
    <xdr:from>
      <xdr:col>7</xdr:col>
      <xdr:colOff>85725</xdr:colOff>
      <xdr:row>0</xdr:row>
      <xdr:rowOff>133350</xdr:rowOff>
    </xdr:from>
    <xdr:to>
      <xdr:col>7</xdr:col>
      <xdr:colOff>1524000</xdr:colOff>
      <xdr:row>0</xdr:row>
      <xdr:rowOff>352425</xdr:rowOff>
    </xdr:to>
    <xdr:grpSp>
      <xdr:nvGrpSpPr>
        <xdr:cNvPr id="7" name="Group 11">
          <a:hlinkClick r:id="rId1"/>
        </xdr:cNvPr>
        <xdr:cNvGrpSpPr>
          <a:grpSpLocks/>
        </xdr:cNvGrpSpPr>
      </xdr:nvGrpSpPr>
      <xdr:grpSpPr>
        <a:xfrm>
          <a:off x="7239000" y="133350"/>
          <a:ext cx="1438275" cy="219075"/>
          <a:chOff x="376" y="330"/>
          <a:chExt cx="145" cy="22"/>
        </a:xfrm>
        <a:solidFill>
          <a:srgbClr val="FFFFFF"/>
        </a:solidFill>
      </xdr:grpSpPr>
      <xdr:sp>
        <xdr:nvSpPr>
          <xdr:cNvPr id="8" name="Rectangle 7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381" y="333"/>
            <a:ext cx="13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 ►</a:t>
            </a:r>
          </a:p>
        </xdr:txBody>
      </xdr:sp>
    </xdr:grpSp>
    <xdr:clientData/>
  </xdr:twoCellAnchor>
  <xdr:twoCellAnchor>
    <xdr:from>
      <xdr:col>5</xdr:col>
      <xdr:colOff>809625</xdr:colOff>
      <xdr:row>0</xdr:row>
      <xdr:rowOff>133350</xdr:rowOff>
    </xdr:from>
    <xdr:to>
      <xdr:col>6</xdr:col>
      <xdr:colOff>438150</xdr:colOff>
      <xdr:row>0</xdr:row>
      <xdr:rowOff>352425</xdr:rowOff>
    </xdr:to>
    <xdr:grpSp>
      <xdr:nvGrpSpPr>
        <xdr:cNvPr id="11" name="Group 12"/>
        <xdr:cNvGrpSpPr>
          <a:grpSpLocks/>
        </xdr:cNvGrpSpPr>
      </xdr:nvGrpSpPr>
      <xdr:grpSpPr>
        <a:xfrm>
          <a:off x="6286500" y="133350"/>
          <a:ext cx="723900" cy="219075"/>
          <a:chOff x="459" y="8"/>
          <a:chExt cx="82" cy="23"/>
        </a:xfrm>
        <a:solidFill>
          <a:srgbClr val="FFFFFF"/>
        </a:solidFill>
      </xdr:grpSpPr>
      <xdr:sp macro="[0]!Neu_Maschinenkostenrechnung">
        <xdr:nvSpPr>
          <xdr:cNvPr id="12" name="Rectangle 13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3" name="Freeform 14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4" name="Text Box 15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4</xdr:col>
      <xdr:colOff>1533525</xdr:colOff>
      <xdr:row>0</xdr:row>
      <xdr:rowOff>133350</xdr:rowOff>
    </xdr:from>
    <xdr:to>
      <xdr:col>5</xdr:col>
      <xdr:colOff>666750</xdr:colOff>
      <xdr:row>0</xdr:row>
      <xdr:rowOff>352425</xdr:rowOff>
    </xdr:to>
    <xdr:grpSp>
      <xdr:nvGrpSpPr>
        <xdr:cNvPr id="15" name="Group 16"/>
        <xdr:cNvGrpSpPr>
          <a:grpSpLocks/>
        </xdr:cNvGrpSpPr>
      </xdr:nvGrpSpPr>
      <xdr:grpSpPr>
        <a:xfrm>
          <a:off x="4714875" y="133350"/>
          <a:ext cx="1428750" cy="219075"/>
          <a:chOff x="459" y="8"/>
          <a:chExt cx="82" cy="23"/>
        </a:xfrm>
        <a:solidFill>
          <a:srgbClr val="FFFFFF"/>
        </a:solidFill>
      </xdr:grpSpPr>
      <xdr:sp macro="[0]!Nocheinmal_Maschinenkostenrechnung">
        <xdr:nvSpPr>
          <xdr:cNvPr id="16" name="Rectangle 17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17" name="Freeform 18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18" name="Text Box 19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  <xdr:twoCellAnchor>
    <xdr:from>
      <xdr:col>0</xdr:col>
      <xdr:colOff>361950</xdr:colOff>
      <xdr:row>31</xdr:row>
      <xdr:rowOff>57150</xdr:rowOff>
    </xdr:from>
    <xdr:to>
      <xdr:col>6</xdr:col>
      <xdr:colOff>266700</xdr:colOff>
      <xdr:row>35</xdr:row>
      <xdr:rowOff>209550</xdr:rowOff>
    </xdr:to>
    <xdr:grpSp>
      <xdr:nvGrpSpPr>
        <xdr:cNvPr id="19" name="Gruppieren 25"/>
        <xdr:cNvGrpSpPr>
          <a:grpSpLocks/>
        </xdr:cNvGrpSpPr>
      </xdr:nvGrpSpPr>
      <xdr:grpSpPr>
        <a:xfrm>
          <a:off x="361950" y="7296150"/>
          <a:ext cx="6477000" cy="1076325"/>
          <a:chOff x="361950" y="7239000"/>
          <a:chExt cx="6476400" cy="1076325"/>
        </a:xfrm>
        <a:solidFill>
          <a:srgbClr val="FFFFFF"/>
        </a:solidFill>
      </xdr:grpSpPr>
      <xdr:sp>
        <xdr:nvSpPr>
          <xdr:cNvPr id="20" name="Text Box 13"/>
          <xdr:cNvSpPr txBox="1">
            <a:spLocks noChangeArrowheads="1"/>
          </xdr:cNvSpPr>
        </xdr:nvSpPr>
        <xdr:spPr>
          <a:xfrm>
            <a:off x="742439" y="7239000"/>
            <a:ext cx="1190039" cy="209614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27432" tIns="3600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Mindestauslastung</a:t>
            </a:r>
          </a:p>
        </xdr:txBody>
      </xdr:sp>
      <xdr:sp>
        <xdr:nvSpPr>
          <xdr:cNvPr id="21" name="Freihandform 24"/>
          <xdr:cNvSpPr>
            <a:spLocks/>
          </xdr:cNvSpPr>
        </xdr:nvSpPr>
        <xdr:spPr>
          <a:xfrm>
            <a:off x="361950" y="7343673"/>
            <a:ext cx="6476400" cy="971652"/>
          </a:xfrm>
          <a:custGeom>
            <a:pathLst>
              <a:path h="971550" w="6486525">
                <a:moveTo>
                  <a:pt x="390525" y="0"/>
                </a:moveTo>
                <a:lnTo>
                  <a:pt x="0" y="0"/>
                </a:lnTo>
                <a:lnTo>
                  <a:pt x="0" y="971550"/>
                </a:lnTo>
                <a:lnTo>
                  <a:pt x="6477000" y="971550"/>
                </a:lnTo>
                <a:lnTo>
                  <a:pt x="6486525" y="0"/>
                </a:lnTo>
                <a:lnTo>
                  <a:pt x="1571625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0</xdr:row>
      <xdr:rowOff>85725</xdr:rowOff>
    </xdr:from>
    <xdr:to>
      <xdr:col>21</xdr:col>
      <xdr:colOff>28575</xdr:colOff>
      <xdr:row>0</xdr:row>
      <xdr:rowOff>304800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410325" y="85725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2" name="Rectangle 21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2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23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20</xdr:col>
      <xdr:colOff>123825</xdr:colOff>
      <xdr:row>1</xdr:row>
      <xdr:rowOff>57150</xdr:rowOff>
    </xdr:from>
    <xdr:to>
      <xdr:col>21</xdr:col>
      <xdr:colOff>28575</xdr:colOff>
      <xdr:row>1</xdr:row>
      <xdr:rowOff>276225</xdr:rowOff>
    </xdr:to>
    <xdr:grpSp>
      <xdr:nvGrpSpPr>
        <xdr:cNvPr id="5" name="Group 24">
          <a:hlinkClick r:id="rId2"/>
        </xdr:cNvPr>
        <xdr:cNvGrpSpPr>
          <a:grpSpLocks/>
        </xdr:cNvGrpSpPr>
      </xdr:nvGrpSpPr>
      <xdr:grpSpPr>
        <a:xfrm>
          <a:off x="6410325" y="438150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6" name="Rectangle 25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26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27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Korrektur ►</a:t>
            </a:r>
          </a:p>
        </xdr:txBody>
      </xdr:sp>
    </xdr:grpSp>
    <xdr:clientData/>
  </xdr:twoCellAnchor>
  <xdr:twoCellAnchor>
    <xdr:from>
      <xdr:col>20</xdr:col>
      <xdr:colOff>123825</xdr:colOff>
      <xdr:row>9</xdr:row>
      <xdr:rowOff>9525</xdr:rowOff>
    </xdr:from>
    <xdr:to>
      <xdr:col>21</xdr:col>
      <xdr:colOff>28575</xdr:colOff>
      <xdr:row>9</xdr:row>
      <xdr:rowOff>219075</xdr:rowOff>
    </xdr:to>
    <xdr:grpSp>
      <xdr:nvGrpSpPr>
        <xdr:cNvPr id="9" name="Group 32">
          <a:hlinkClick r:id="rId3"/>
        </xdr:cNvPr>
        <xdr:cNvGrpSpPr>
          <a:grpSpLocks/>
        </xdr:cNvGrpSpPr>
      </xdr:nvGrpSpPr>
      <xdr:grpSpPr>
        <a:xfrm>
          <a:off x="6410325" y="2428875"/>
          <a:ext cx="1171575" cy="209550"/>
          <a:chOff x="634" y="313"/>
          <a:chExt cx="123" cy="23"/>
        </a:xfrm>
        <a:solidFill>
          <a:srgbClr val="FFFFFF"/>
        </a:solidFill>
      </xdr:grpSpPr>
      <xdr:sp>
        <xdr:nvSpPr>
          <xdr:cNvPr id="10" name="Rectangle 33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34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35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Alter und ZW ►</a:t>
            </a:r>
          </a:p>
        </xdr:txBody>
      </xdr:sp>
    </xdr:grpSp>
    <xdr:clientData/>
  </xdr:twoCellAnchor>
  <xdr:twoCellAnchor>
    <xdr:from>
      <xdr:col>16</xdr:col>
      <xdr:colOff>342900</xdr:colOff>
      <xdr:row>0</xdr:row>
      <xdr:rowOff>76200</xdr:rowOff>
    </xdr:from>
    <xdr:to>
      <xdr:col>19</xdr:col>
      <xdr:colOff>28575</xdr:colOff>
      <xdr:row>0</xdr:row>
      <xdr:rowOff>295275</xdr:rowOff>
    </xdr:to>
    <xdr:grpSp>
      <xdr:nvGrpSpPr>
        <xdr:cNvPr id="13" name="Group 41"/>
        <xdr:cNvGrpSpPr>
          <a:grpSpLocks/>
        </xdr:cNvGrpSpPr>
      </xdr:nvGrpSpPr>
      <xdr:grpSpPr>
        <a:xfrm>
          <a:off x="5410200" y="76200"/>
          <a:ext cx="752475" cy="219075"/>
          <a:chOff x="459" y="8"/>
          <a:chExt cx="82" cy="23"/>
        </a:xfrm>
        <a:solidFill>
          <a:srgbClr val="FFFFFF"/>
        </a:solidFill>
      </xdr:grpSpPr>
      <xdr:sp macro="[0]!Neu_Maschinenkostenrechnung">
        <xdr:nvSpPr>
          <xdr:cNvPr id="14" name="Rectangle 4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5" name="Freeform 4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6" name="Text Box 4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14</xdr:col>
      <xdr:colOff>409575</xdr:colOff>
      <xdr:row>1</xdr:row>
      <xdr:rowOff>57150</xdr:rowOff>
    </xdr:from>
    <xdr:to>
      <xdr:col>19</xdr:col>
      <xdr:colOff>28575</xdr:colOff>
      <xdr:row>1</xdr:row>
      <xdr:rowOff>276225</xdr:rowOff>
    </xdr:to>
    <xdr:grpSp>
      <xdr:nvGrpSpPr>
        <xdr:cNvPr id="17" name="Group 45"/>
        <xdr:cNvGrpSpPr>
          <a:grpSpLocks/>
        </xdr:cNvGrpSpPr>
      </xdr:nvGrpSpPr>
      <xdr:grpSpPr>
        <a:xfrm>
          <a:off x="4905375" y="438150"/>
          <a:ext cx="1257300" cy="219075"/>
          <a:chOff x="459" y="8"/>
          <a:chExt cx="82" cy="23"/>
        </a:xfrm>
        <a:solidFill>
          <a:srgbClr val="FFFFFF"/>
        </a:solidFill>
      </xdr:grpSpPr>
      <xdr:sp macro="[0]!Nocheinmal_Maschinenkostenrechnung">
        <xdr:nvSpPr>
          <xdr:cNvPr id="18" name="Rectangle 4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19" name="Freeform 4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20" name="Text Box 4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  <xdr:twoCellAnchor>
    <xdr:from>
      <xdr:col>0</xdr:col>
      <xdr:colOff>66675</xdr:colOff>
      <xdr:row>0</xdr:row>
      <xdr:rowOff>0</xdr:rowOff>
    </xdr:from>
    <xdr:to>
      <xdr:col>1</xdr:col>
      <xdr:colOff>0</xdr:colOff>
      <xdr:row>0</xdr:row>
      <xdr:rowOff>85725</xdr:rowOff>
    </xdr:to>
    <xdr:sp>
      <xdr:nvSpPr>
        <xdr:cNvPr id="21" name="AutoShape 49"/>
        <xdr:cNvSpPr>
          <a:spLocks/>
        </xdr:cNvSpPr>
      </xdr:nvSpPr>
      <xdr:spPr>
        <a:xfrm rot="10800000">
          <a:off x="66675" y="0"/>
          <a:ext cx="85725" cy="85725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19</xdr:col>
      <xdr:colOff>0</xdr:colOff>
      <xdr:row>11</xdr:row>
      <xdr:rowOff>0</xdr:rowOff>
    </xdr:to>
    <xdr:graphicFrame>
      <xdr:nvGraphicFramePr>
        <xdr:cNvPr id="22" name="Chart 1"/>
        <xdr:cNvGraphicFramePr/>
      </xdr:nvGraphicFramePr>
      <xdr:xfrm>
        <a:off x="3857625" y="1428750"/>
        <a:ext cx="2276475" cy="148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123825</xdr:colOff>
      <xdr:row>13</xdr:row>
      <xdr:rowOff>0</xdr:rowOff>
    </xdr:from>
    <xdr:to>
      <xdr:col>20</xdr:col>
      <xdr:colOff>1257300</xdr:colOff>
      <xdr:row>13</xdr:row>
      <xdr:rowOff>209550</xdr:rowOff>
    </xdr:to>
    <xdr:grpSp>
      <xdr:nvGrpSpPr>
        <xdr:cNvPr id="23" name="Group 32">
          <a:hlinkClick r:id="rId5"/>
        </xdr:cNvPr>
        <xdr:cNvGrpSpPr>
          <a:grpSpLocks/>
        </xdr:cNvGrpSpPr>
      </xdr:nvGrpSpPr>
      <xdr:grpSpPr>
        <a:xfrm>
          <a:off x="6410325" y="3286125"/>
          <a:ext cx="1133475" cy="209550"/>
          <a:chOff x="634" y="313"/>
          <a:chExt cx="123" cy="23"/>
        </a:xfrm>
        <a:solidFill>
          <a:srgbClr val="FFFFFF"/>
        </a:solidFill>
      </xdr:grpSpPr>
      <xdr:sp>
        <xdr:nvSpPr>
          <xdr:cNvPr id="24" name="Rectangle 33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4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35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Fixkosten ►</a:t>
            </a:r>
          </a:p>
        </xdr:txBody>
      </xdr:sp>
    </xdr:grpSp>
    <xdr:clientData/>
  </xdr:twoCellAnchor>
  <xdr:twoCellAnchor>
    <xdr:from>
      <xdr:col>20</xdr:col>
      <xdr:colOff>123825</xdr:colOff>
      <xdr:row>19</xdr:row>
      <xdr:rowOff>238125</xdr:rowOff>
    </xdr:from>
    <xdr:to>
      <xdr:col>20</xdr:col>
      <xdr:colOff>1257300</xdr:colOff>
      <xdr:row>20</xdr:row>
      <xdr:rowOff>209550</xdr:rowOff>
    </xdr:to>
    <xdr:grpSp>
      <xdr:nvGrpSpPr>
        <xdr:cNvPr id="27" name="Group 32">
          <a:hlinkClick r:id="rId6"/>
        </xdr:cNvPr>
        <xdr:cNvGrpSpPr>
          <a:grpSpLocks/>
        </xdr:cNvGrpSpPr>
      </xdr:nvGrpSpPr>
      <xdr:grpSpPr>
        <a:xfrm>
          <a:off x="6410325" y="4886325"/>
          <a:ext cx="1133475" cy="219075"/>
          <a:chOff x="634" y="313"/>
          <a:chExt cx="123" cy="23"/>
        </a:xfrm>
        <a:solidFill>
          <a:srgbClr val="FFFFFF"/>
        </a:solidFill>
      </xdr:grpSpPr>
      <xdr:sp>
        <xdr:nvSpPr>
          <xdr:cNvPr id="28" name="Rectangle 33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4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35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Var. Kosten ►</a:t>
            </a:r>
          </a:p>
        </xdr:txBody>
      </xdr:sp>
    </xdr:grpSp>
    <xdr:clientData/>
  </xdr:twoCellAnchor>
  <xdr:twoCellAnchor>
    <xdr:from>
      <xdr:col>20</xdr:col>
      <xdr:colOff>123825</xdr:colOff>
      <xdr:row>25</xdr:row>
      <xdr:rowOff>0</xdr:rowOff>
    </xdr:from>
    <xdr:to>
      <xdr:col>20</xdr:col>
      <xdr:colOff>1266825</xdr:colOff>
      <xdr:row>25</xdr:row>
      <xdr:rowOff>209550</xdr:rowOff>
    </xdr:to>
    <xdr:grpSp>
      <xdr:nvGrpSpPr>
        <xdr:cNvPr id="31" name="Group 32">
          <a:hlinkClick r:id="rId7"/>
        </xdr:cNvPr>
        <xdr:cNvGrpSpPr>
          <a:grpSpLocks/>
        </xdr:cNvGrpSpPr>
      </xdr:nvGrpSpPr>
      <xdr:grpSpPr>
        <a:xfrm>
          <a:off x="6410325" y="6076950"/>
          <a:ext cx="1143000" cy="209550"/>
          <a:chOff x="634" y="313"/>
          <a:chExt cx="123" cy="23"/>
        </a:xfrm>
        <a:solidFill>
          <a:srgbClr val="FFFFFF"/>
        </a:solidFill>
      </xdr:grpSpPr>
      <xdr:sp>
        <xdr:nvSpPr>
          <xdr:cNvPr id="32" name="Rectangle 33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Kosten/Std. ►</a:t>
            </a:r>
          </a:p>
        </xdr:txBody>
      </xdr:sp>
    </xdr:grpSp>
    <xdr:clientData/>
  </xdr:twoCellAnchor>
  <xdr:twoCellAnchor>
    <xdr:from>
      <xdr:col>20</xdr:col>
      <xdr:colOff>123825</xdr:colOff>
      <xdr:row>35</xdr:row>
      <xdr:rowOff>9525</xdr:rowOff>
    </xdr:from>
    <xdr:to>
      <xdr:col>21</xdr:col>
      <xdr:colOff>0</xdr:colOff>
      <xdr:row>35</xdr:row>
      <xdr:rowOff>219075</xdr:rowOff>
    </xdr:to>
    <xdr:grpSp>
      <xdr:nvGrpSpPr>
        <xdr:cNvPr id="35" name="Group 32">
          <a:hlinkClick r:id="rId8"/>
        </xdr:cNvPr>
        <xdr:cNvGrpSpPr>
          <a:grpSpLocks/>
        </xdr:cNvGrpSpPr>
      </xdr:nvGrpSpPr>
      <xdr:grpSpPr>
        <a:xfrm>
          <a:off x="6410325" y="8896350"/>
          <a:ext cx="1143000" cy="209550"/>
          <a:chOff x="634" y="313"/>
          <a:chExt cx="123" cy="23"/>
        </a:xfrm>
        <a:solidFill>
          <a:srgbClr val="FFFFFF"/>
        </a:solidFill>
      </xdr:grpSpPr>
      <xdr:sp>
        <xdr:nvSpPr>
          <xdr:cNvPr id="36" name="Rectangle 33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4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35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Mindeststd. ►</a:t>
            </a:r>
          </a:p>
        </xdr:txBody>
      </xdr:sp>
    </xdr:grpSp>
    <xdr:clientData/>
  </xdr:twoCellAnchor>
  <xdr:twoCellAnchor>
    <xdr:from>
      <xdr:col>20</xdr:col>
      <xdr:colOff>123825</xdr:colOff>
      <xdr:row>53</xdr:row>
      <xdr:rowOff>0</xdr:rowOff>
    </xdr:from>
    <xdr:to>
      <xdr:col>21</xdr:col>
      <xdr:colOff>0</xdr:colOff>
      <xdr:row>53</xdr:row>
      <xdr:rowOff>209550</xdr:rowOff>
    </xdr:to>
    <xdr:grpSp>
      <xdr:nvGrpSpPr>
        <xdr:cNvPr id="39" name="Group 32">
          <a:hlinkClick r:id="rId9"/>
        </xdr:cNvPr>
        <xdr:cNvGrpSpPr>
          <a:grpSpLocks/>
        </xdr:cNvGrpSpPr>
      </xdr:nvGrpSpPr>
      <xdr:grpSpPr>
        <a:xfrm>
          <a:off x="6410325" y="11782425"/>
          <a:ext cx="1143000" cy="209550"/>
          <a:chOff x="634" y="313"/>
          <a:chExt cx="123" cy="23"/>
        </a:xfrm>
        <a:solidFill>
          <a:srgbClr val="FFFFFF"/>
        </a:solidFill>
      </xdr:grpSpPr>
      <xdr:sp>
        <xdr:nvSpPr>
          <xdr:cNvPr id="40" name="Rectangle 33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34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5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Mindeststd. ►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47625</xdr:rowOff>
    </xdr:from>
    <xdr:to>
      <xdr:col>12</xdr:col>
      <xdr:colOff>1219200</xdr:colOff>
      <xdr:row>1</xdr:row>
      <xdr:rowOff>266700</xdr:rowOff>
    </xdr:to>
    <xdr:grpSp>
      <xdr:nvGrpSpPr>
        <xdr:cNvPr id="1" name="Group 23">
          <a:hlinkClick r:id="rId1"/>
        </xdr:cNvPr>
        <xdr:cNvGrpSpPr>
          <a:grpSpLocks/>
        </xdr:cNvGrpSpPr>
      </xdr:nvGrpSpPr>
      <xdr:grpSpPr>
        <a:xfrm>
          <a:off x="6086475" y="457200"/>
          <a:ext cx="1171575" cy="219075"/>
          <a:chOff x="376" y="330"/>
          <a:chExt cx="145" cy="22"/>
        </a:xfrm>
        <a:solidFill>
          <a:srgbClr val="FFFFFF"/>
        </a:solidFill>
      </xdr:grpSpPr>
      <xdr:sp>
        <xdr:nvSpPr>
          <xdr:cNvPr id="2" name="Rectangle 24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5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/>
  </xdr:twoCellAnchor>
  <xdr:twoCellAnchor>
    <xdr:from>
      <xdr:col>12</xdr:col>
      <xdr:colOff>47625</xdr:colOff>
      <xdr:row>0</xdr:row>
      <xdr:rowOff>85725</xdr:rowOff>
    </xdr:from>
    <xdr:to>
      <xdr:col>12</xdr:col>
      <xdr:colOff>1219200</xdr:colOff>
      <xdr:row>0</xdr:row>
      <xdr:rowOff>304800</xdr:rowOff>
    </xdr:to>
    <xdr:grpSp>
      <xdr:nvGrpSpPr>
        <xdr:cNvPr id="5" name="Group 27">
          <a:hlinkClick r:id="rId2"/>
        </xdr:cNvPr>
        <xdr:cNvGrpSpPr>
          <a:grpSpLocks/>
        </xdr:cNvGrpSpPr>
      </xdr:nvGrpSpPr>
      <xdr:grpSpPr>
        <a:xfrm>
          <a:off x="6086475" y="85725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6" name="Rectangle 28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29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30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171450</xdr:rowOff>
    </xdr:from>
    <xdr:to>
      <xdr:col>12</xdr:col>
      <xdr:colOff>1219200</xdr:colOff>
      <xdr:row>9</xdr:row>
      <xdr:rowOff>9525</xdr:rowOff>
    </xdr:to>
    <xdr:grpSp>
      <xdr:nvGrpSpPr>
        <xdr:cNvPr id="9" name="Group 31">
          <a:hlinkClick r:id="rId3"/>
        </xdr:cNvPr>
        <xdr:cNvGrpSpPr>
          <a:grpSpLocks/>
        </xdr:cNvGrpSpPr>
      </xdr:nvGrpSpPr>
      <xdr:grpSpPr>
        <a:xfrm>
          <a:off x="6086475" y="1990725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10" name="Rectangle 32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33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34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Alter unnd ZW ►</a:t>
            </a:r>
          </a:p>
        </xdr:txBody>
      </xdr:sp>
    </xdr:grpSp>
    <xdr:clientData/>
  </xdr:twoCellAnchor>
  <xdr:twoCellAnchor>
    <xdr:from>
      <xdr:col>9</xdr:col>
      <xdr:colOff>142875</xdr:colOff>
      <xdr:row>0</xdr:row>
      <xdr:rowOff>85725</xdr:rowOff>
    </xdr:from>
    <xdr:to>
      <xdr:col>11</xdr:col>
      <xdr:colOff>304800</xdr:colOff>
      <xdr:row>0</xdr:row>
      <xdr:rowOff>304800</xdr:rowOff>
    </xdr:to>
    <xdr:grpSp>
      <xdr:nvGrpSpPr>
        <xdr:cNvPr id="13" name="Group 41"/>
        <xdr:cNvGrpSpPr>
          <a:grpSpLocks/>
        </xdr:cNvGrpSpPr>
      </xdr:nvGrpSpPr>
      <xdr:grpSpPr>
        <a:xfrm>
          <a:off x="5210175" y="85725"/>
          <a:ext cx="723900" cy="219075"/>
          <a:chOff x="459" y="8"/>
          <a:chExt cx="82" cy="23"/>
        </a:xfrm>
        <a:solidFill>
          <a:srgbClr val="FFFFFF"/>
        </a:solidFill>
      </xdr:grpSpPr>
      <xdr:sp macro="[0]!Neu_Maschinenkostenrechnung">
        <xdr:nvSpPr>
          <xdr:cNvPr id="14" name="Rectangle 4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5" name="Freeform 4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6" name="Text Box 4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8</xdr:col>
      <xdr:colOff>447675</xdr:colOff>
      <xdr:row>1</xdr:row>
      <xdr:rowOff>47625</xdr:rowOff>
    </xdr:from>
    <xdr:to>
      <xdr:col>11</xdr:col>
      <xdr:colOff>304800</xdr:colOff>
      <xdr:row>1</xdr:row>
      <xdr:rowOff>266700</xdr:rowOff>
    </xdr:to>
    <xdr:grpSp>
      <xdr:nvGrpSpPr>
        <xdr:cNvPr id="17" name="Group 45"/>
        <xdr:cNvGrpSpPr>
          <a:grpSpLocks/>
        </xdr:cNvGrpSpPr>
      </xdr:nvGrpSpPr>
      <xdr:grpSpPr>
        <a:xfrm>
          <a:off x="4591050" y="457200"/>
          <a:ext cx="1343025" cy="219075"/>
          <a:chOff x="459" y="8"/>
          <a:chExt cx="82" cy="23"/>
        </a:xfrm>
        <a:solidFill>
          <a:srgbClr val="FFFFFF"/>
        </a:solidFill>
      </xdr:grpSpPr>
      <xdr:sp macro="[0]!Nocheinmal_Maschinenkostenrechnung">
        <xdr:nvSpPr>
          <xdr:cNvPr id="18" name="Rectangle 4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19" name="Freeform 4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20" name="Text Box 4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  <xdr:twoCellAnchor>
    <xdr:from>
      <xdr:col>12</xdr:col>
      <xdr:colOff>47625</xdr:colOff>
      <xdr:row>11</xdr:row>
      <xdr:rowOff>161925</xdr:rowOff>
    </xdr:from>
    <xdr:to>
      <xdr:col>12</xdr:col>
      <xdr:colOff>1219200</xdr:colOff>
      <xdr:row>13</xdr:row>
      <xdr:rowOff>0</xdr:rowOff>
    </xdr:to>
    <xdr:grpSp>
      <xdr:nvGrpSpPr>
        <xdr:cNvPr id="21" name="Group 31">
          <a:hlinkClick r:id="rId4"/>
        </xdr:cNvPr>
        <xdr:cNvGrpSpPr>
          <a:grpSpLocks/>
        </xdr:cNvGrpSpPr>
      </xdr:nvGrpSpPr>
      <xdr:grpSpPr>
        <a:xfrm>
          <a:off x="6086475" y="2743200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22" name="Rectangle 32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33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34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Fixkosten ►</a:t>
            </a:r>
          </a:p>
        </xdr:txBody>
      </xdr:sp>
    </xdr:grpSp>
    <xdr:clientData/>
  </xdr:twoCellAnchor>
  <xdr:twoCellAnchor>
    <xdr:from>
      <xdr:col>12</xdr:col>
      <xdr:colOff>47625</xdr:colOff>
      <xdr:row>19</xdr:row>
      <xdr:rowOff>171450</xdr:rowOff>
    </xdr:from>
    <xdr:to>
      <xdr:col>12</xdr:col>
      <xdr:colOff>1219200</xdr:colOff>
      <xdr:row>21</xdr:row>
      <xdr:rowOff>9525</xdr:rowOff>
    </xdr:to>
    <xdr:grpSp>
      <xdr:nvGrpSpPr>
        <xdr:cNvPr id="25" name="Group 31">
          <a:hlinkClick r:id="rId5"/>
        </xdr:cNvPr>
        <xdr:cNvGrpSpPr>
          <a:grpSpLocks/>
        </xdr:cNvGrpSpPr>
      </xdr:nvGrpSpPr>
      <xdr:grpSpPr>
        <a:xfrm>
          <a:off x="6086475" y="4276725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26" name="Rectangle 32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33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34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Var. Kosten ►</a:t>
            </a:r>
          </a:p>
        </xdr:txBody>
      </xdr:sp>
    </xdr:grpSp>
    <xdr:clientData/>
  </xdr:twoCellAnchor>
  <xdr:twoCellAnchor>
    <xdr:from>
      <xdr:col>12</xdr:col>
      <xdr:colOff>47625</xdr:colOff>
      <xdr:row>27</xdr:row>
      <xdr:rowOff>0</xdr:rowOff>
    </xdr:from>
    <xdr:to>
      <xdr:col>12</xdr:col>
      <xdr:colOff>1219200</xdr:colOff>
      <xdr:row>28</xdr:row>
      <xdr:rowOff>28575</xdr:rowOff>
    </xdr:to>
    <xdr:grpSp>
      <xdr:nvGrpSpPr>
        <xdr:cNvPr id="29" name="Group 31">
          <a:hlinkClick r:id="rId6"/>
        </xdr:cNvPr>
        <xdr:cNvGrpSpPr>
          <a:grpSpLocks/>
        </xdr:cNvGrpSpPr>
      </xdr:nvGrpSpPr>
      <xdr:grpSpPr>
        <a:xfrm>
          <a:off x="6086475" y="5629275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30" name="Rectangle 32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4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Kosten/Std. ►</a:t>
            </a:r>
          </a:p>
        </xdr:txBody>
      </xdr:sp>
    </xdr:grpSp>
    <xdr:clientData/>
  </xdr:twoCellAnchor>
  <xdr:twoCellAnchor>
    <xdr:from>
      <xdr:col>12</xdr:col>
      <xdr:colOff>47625</xdr:colOff>
      <xdr:row>44</xdr:row>
      <xdr:rowOff>19050</xdr:rowOff>
    </xdr:from>
    <xdr:to>
      <xdr:col>12</xdr:col>
      <xdr:colOff>1219200</xdr:colOff>
      <xdr:row>45</xdr:row>
      <xdr:rowOff>47625</xdr:rowOff>
    </xdr:to>
    <xdr:grpSp>
      <xdr:nvGrpSpPr>
        <xdr:cNvPr id="33" name="Group 31">
          <a:hlinkClick r:id="rId7"/>
        </xdr:cNvPr>
        <xdr:cNvGrpSpPr>
          <a:grpSpLocks/>
        </xdr:cNvGrpSpPr>
      </xdr:nvGrpSpPr>
      <xdr:grpSpPr>
        <a:xfrm>
          <a:off x="6086475" y="10420350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34" name="Rectangle 32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3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34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Mindeststd. ►</a:t>
            </a:r>
          </a:p>
        </xdr:txBody>
      </xdr:sp>
    </xdr:grpSp>
    <xdr:clientData/>
  </xdr:twoCellAnchor>
  <xdr:twoCellAnchor>
    <xdr:from>
      <xdr:col>12</xdr:col>
      <xdr:colOff>47625</xdr:colOff>
      <xdr:row>58</xdr:row>
      <xdr:rowOff>180975</xdr:rowOff>
    </xdr:from>
    <xdr:to>
      <xdr:col>12</xdr:col>
      <xdr:colOff>1219200</xdr:colOff>
      <xdr:row>60</xdr:row>
      <xdr:rowOff>19050</xdr:rowOff>
    </xdr:to>
    <xdr:grpSp>
      <xdr:nvGrpSpPr>
        <xdr:cNvPr id="37" name="Group 31">
          <a:hlinkClick r:id="rId8"/>
        </xdr:cNvPr>
        <xdr:cNvGrpSpPr>
          <a:grpSpLocks/>
        </xdr:cNvGrpSpPr>
      </xdr:nvGrpSpPr>
      <xdr:grpSpPr>
        <a:xfrm>
          <a:off x="6086475" y="13249275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38" name="Rectangle 32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3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Box 34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Mindeststd. ►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47625</xdr:rowOff>
    </xdr:from>
    <xdr:to>
      <xdr:col>22</xdr:col>
      <xdr:colOff>847725</xdr:colOff>
      <xdr:row>1</xdr:row>
      <xdr:rowOff>266700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610350" y="428625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2" name="Rectangle 21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2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23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 fPrintsWithSheet="0"/>
  </xdr:twoCellAnchor>
  <xdr:twoCellAnchor>
    <xdr:from>
      <xdr:col>23</xdr:col>
      <xdr:colOff>104775</xdr:colOff>
      <xdr:row>1</xdr:row>
      <xdr:rowOff>47625</xdr:rowOff>
    </xdr:from>
    <xdr:to>
      <xdr:col>24</xdr:col>
      <xdr:colOff>352425</xdr:colOff>
      <xdr:row>1</xdr:row>
      <xdr:rowOff>266700</xdr:rowOff>
    </xdr:to>
    <xdr:grpSp>
      <xdr:nvGrpSpPr>
        <xdr:cNvPr id="5" name="Group 24">
          <a:hlinkClick r:id="rId2"/>
        </xdr:cNvPr>
        <xdr:cNvGrpSpPr>
          <a:grpSpLocks/>
        </xdr:cNvGrpSpPr>
      </xdr:nvGrpSpPr>
      <xdr:grpSpPr>
        <a:xfrm>
          <a:off x="7962900" y="428625"/>
          <a:ext cx="1171575" cy="219075"/>
          <a:chOff x="634" y="313"/>
          <a:chExt cx="123" cy="23"/>
        </a:xfrm>
        <a:solidFill>
          <a:srgbClr val="FFFFFF"/>
        </a:solidFill>
      </xdr:grpSpPr>
      <xdr:sp>
        <xdr:nvSpPr>
          <xdr:cNvPr id="6" name="Rectangle 25"/>
          <xdr:cNvSpPr>
            <a:spLocks/>
          </xdr:cNvSpPr>
        </xdr:nvSpPr>
        <xdr:spPr>
          <a:xfrm>
            <a:off x="634" y="313"/>
            <a:ext cx="123" cy="23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26"/>
          <xdr:cNvSpPr>
            <a:spLocks/>
          </xdr:cNvSpPr>
        </xdr:nvSpPr>
        <xdr:spPr>
          <a:xfrm>
            <a:off x="634" y="31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0000FF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27"/>
          <xdr:cNvSpPr txBox="1">
            <a:spLocks noChangeArrowheads="1"/>
          </xdr:cNvSpPr>
        </xdr:nvSpPr>
        <xdr:spPr>
          <a:xfrm>
            <a:off x="638" y="316"/>
            <a:ext cx="116" cy="1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◄ Korrektur</a:t>
            </a:r>
          </a:p>
        </xdr:txBody>
      </xdr:sp>
    </xdr:grpSp>
    <xdr:clientData fPrintsWithSheet="0"/>
  </xdr:twoCellAnchor>
  <xdr:twoCellAnchor>
    <xdr:from>
      <xdr:col>16</xdr:col>
      <xdr:colOff>342900</xdr:colOff>
      <xdr:row>0</xdr:row>
      <xdr:rowOff>85725</xdr:rowOff>
    </xdr:from>
    <xdr:to>
      <xdr:col>19</xdr:col>
      <xdr:colOff>28575</xdr:colOff>
      <xdr:row>0</xdr:row>
      <xdr:rowOff>304800</xdr:rowOff>
    </xdr:to>
    <xdr:grpSp>
      <xdr:nvGrpSpPr>
        <xdr:cNvPr id="9" name="Group 41"/>
        <xdr:cNvGrpSpPr>
          <a:grpSpLocks/>
        </xdr:cNvGrpSpPr>
      </xdr:nvGrpSpPr>
      <xdr:grpSpPr>
        <a:xfrm>
          <a:off x="5410200" y="85725"/>
          <a:ext cx="752475" cy="219075"/>
          <a:chOff x="459" y="8"/>
          <a:chExt cx="82" cy="23"/>
        </a:xfrm>
        <a:solidFill>
          <a:srgbClr val="FFFFFF"/>
        </a:solidFill>
      </xdr:grpSpPr>
      <xdr:sp macro="[0]!Neu_Maschinenkostenrechnung">
        <xdr:nvSpPr>
          <xdr:cNvPr id="10" name="Rectangle 4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1" name="Freeform 4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Maschinenkostenrechnung">
        <xdr:nvSpPr>
          <xdr:cNvPr id="12" name="Text Box 4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14</xdr:col>
      <xdr:colOff>419100</xdr:colOff>
      <xdr:row>1</xdr:row>
      <xdr:rowOff>47625</xdr:rowOff>
    </xdr:from>
    <xdr:to>
      <xdr:col>19</xdr:col>
      <xdr:colOff>38100</xdr:colOff>
      <xdr:row>1</xdr:row>
      <xdr:rowOff>266700</xdr:rowOff>
    </xdr:to>
    <xdr:grpSp>
      <xdr:nvGrpSpPr>
        <xdr:cNvPr id="13" name="Group 45"/>
        <xdr:cNvGrpSpPr>
          <a:grpSpLocks/>
        </xdr:cNvGrpSpPr>
      </xdr:nvGrpSpPr>
      <xdr:grpSpPr>
        <a:xfrm>
          <a:off x="4914900" y="428625"/>
          <a:ext cx="1257300" cy="219075"/>
          <a:chOff x="459" y="8"/>
          <a:chExt cx="82" cy="23"/>
        </a:xfrm>
        <a:solidFill>
          <a:srgbClr val="FFFFFF"/>
        </a:solidFill>
      </xdr:grpSpPr>
      <xdr:sp macro="[0]!Nocheinmal_Maschinenkostenrechnung">
        <xdr:nvSpPr>
          <xdr:cNvPr id="14" name="Rectangle 4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15" name="Freeform 4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Maschinenkostenrechnung">
        <xdr:nvSpPr>
          <xdr:cNvPr id="16" name="Text Box 4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  <xdr:twoCellAnchor>
    <xdr:from>
      <xdr:col>11</xdr:col>
      <xdr:colOff>9525</xdr:colOff>
      <xdr:row>14</xdr:row>
      <xdr:rowOff>19050</xdr:rowOff>
    </xdr:from>
    <xdr:to>
      <xdr:col>20</xdr:col>
      <xdr:colOff>238125</xdr:colOff>
      <xdr:row>15</xdr:row>
      <xdr:rowOff>19050</xdr:rowOff>
    </xdr:to>
    <xdr:sp>
      <xdr:nvSpPr>
        <xdr:cNvPr id="17" name="Freeform 5"/>
        <xdr:cNvSpPr>
          <a:spLocks/>
        </xdr:cNvSpPr>
      </xdr:nvSpPr>
      <xdr:spPr>
        <a:xfrm flipV="1">
          <a:off x="3857625" y="3676650"/>
          <a:ext cx="2752725" cy="247650"/>
        </a:xfrm>
        <a:custGeom>
          <a:pathLst>
            <a:path h="17046" w="11965">
              <a:moveTo>
                <a:pt x="11965" y="17046"/>
              </a:moveTo>
              <a:lnTo>
                <a:pt x="10323" y="17037"/>
              </a:lnTo>
              <a:cubicBezTo>
                <a:pt x="10323" y="11358"/>
                <a:pt x="10324" y="5679"/>
                <a:pt x="10324" y="0"/>
              </a:cubicBez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19050</xdr:rowOff>
    </xdr:from>
    <xdr:to>
      <xdr:col>21</xdr:col>
      <xdr:colOff>9525</xdr:colOff>
      <xdr:row>18</xdr:row>
      <xdr:rowOff>28575</xdr:rowOff>
    </xdr:to>
    <xdr:sp>
      <xdr:nvSpPr>
        <xdr:cNvPr id="18" name="Freeform 5"/>
        <xdr:cNvSpPr>
          <a:spLocks/>
        </xdr:cNvSpPr>
      </xdr:nvSpPr>
      <xdr:spPr>
        <a:xfrm>
          <a:off x="3857625" y="4171950"/>
          <a:ext cx="2762250" cy="504825"/>
        </a:xfrm>
        <a:custGeom>
          <a:pathLst>
            <a:path h="17046" w="10621">
              <a:moveTo>
                <a:pt x="10621" y="17046"/>
              </a:moveTo>
              <a:lnTo>
                <a:pt x="10164" y="17037"/>
              </a:lnTo>
              <a:cubicBezTo>
                <a:pt x="10164" y="11358"/>
                <a:pt x="10165" y="5679"/>
                <a:pt x="10165" y="0"/>
              </a:cubicBez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9525</xdr:rowOff>
    </xdr:from>
    <xdr:to>
      <xdr:col>20</xdr:col>
      <xdr:colOff>238125</xdr:colOff>
      <xdr:row>22</xdr:row>
      <xdr:rowOff>28575</xdr:rowOff>
    </xdr:to>
    <xdr:sp>
      <xdr:nvSpPr>
        <xdr:cNvPr id="19" name="Freeform 5"/>
        <xdr:cNvSpPr>
          <a:spLocks/>
        </xdr:cNvSpPr>
      </xdr:nvSpPr>
      <xdr:spPr>
        <a:xfrm>
          <a:off x="3857625" y="4410075"/>
          <a:ext cx="2752725" cy="1257300"/>
        </a:xfrm>
        <a:custGeom>
          <a:pathLst>
            <a:path h="17046" w="17254">
              <a:moveTo>
                <a:pt x="17254" y="17046"/>
              </a:moveTo>
              <a:lnTo>
                <a:pt x="15721" y="17037"/>
              </a:lnTo>
              <a:cubicBezTo>
                <a:pt x="15721" y="11358"/>
                <a:pt x="15722" y="5679"/>
                <a:pt x="15722" y="0"/>
              </a:cubicBezTo>
              <a:lnTo>
                <a:pt x="0" y="6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20</xdr:row>
      <xdr:rowOff>0</xdr:rowOff>
    </xdr:from>
    <xdr:to>
      <xdr:col>21</xdr:col>
      <xdr:colOff>9525</xdr:colOff>
      <xdr:row>30</xdr:row>
      <xdr:rowOff>38100</xdr:rowOff>
    </xdr:to>
    <xdr:sp>
      <xdr:nvSpPr>
        <xdr:cNvPr id="20" name="Freeform 5"/>
        <xdr:cNvSpPr>
          <a:spLocks/>
        </xdr:cNvSpPr>
      </xdr:nvSpPr>
      <xdr:spPr>
        <a:xfrm>
          <a:off x="6086475" y="5143500"/>
          <a:ext cx="533400" cy="2514600"/>
        </a:xfrm>
        <a:custGeom>
          <a:pathLst>
            <a:path h="10000" w="10000">
              <a:moveTo>
                <a:pt x="10000" y="9939"/>
              </a:moveTo>
              <a:lnTo>
                <a:pt x="0" y="10000"/>
              </a:lnTo>
              <a:cubicBezTo>
                <a:pt x="0" y="6667"/>
                <a:pt x="4" y="3333"/>
                <a:pt x="4" y="0"/>
              </a:cubicBez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9525</xdr:rowOff>
    </xdr:from>
    <xdr:to>
      <xdr:col>20</xdr:col>
      <xdr:colOff>238125</xdr:colOff>
      <xdr:row>26</xdr:row>
      <xdr:rowOff>28575</xdr:rowOff>
    </xdr:to>
    <xdr:sp>
      <xdr:nvSpPr>
        <xdr:cNvPr id="21" name="Freeform 5"/>
        <xdr:cNvSpPr>
          <a:spLocks/>
        </xdr:cNvSpPr>
      </xdr:nvSpPr>
      <xdr:spPr>
        <a:xfrm>
          <a:off x="3857625" y="4657725"/>
          <a:ext cx="2752725" cy="2000250"/>
        </a:xfrm>
        <a:custGeom>
          <a:pathLst>
            <a:path h="17046" w="11555">
              <a:moveTo>
                <a:pt x="11555" y="17046"/>
              </a:moveTo>
              <a:lnTo>
                <a:pt x="10016" y="17037"/>
              </a:lnTo>
              <a:cubicBezTo>
                <a:pt x="10016" y="11358"/>
                <a:pt x="10017" y="5679"/>
                <a:pt x="10017" y="0"/>
              </a:cubicBez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36</xdr:row>
      <xdr:rowOff>28575</xdr:rowOff>
    </xdr:from>
    <xdr:to>
      <xdr:col>20</xdr:col>
      <xdr:colOff>238125</xdr:colOff>
      <xdr:row>37</xdr:row>
      <xdr:rowOff>38100</xdr:rowOff>
    </xdr:to>
    <xdr:sp>
      <xdr:nvSpPr>
        <xdr:cNvPr id="22" name="Freeform 5"/>
        <xdr:cNvSpPr>
          <a:spLocks/>
        </xdr:cNvSpPr>
      </xdr:nvSpPr>
      <xdr:spPr>
        <a:xfrm flipV="1">
          <a:off x="6124575" y="9134475"/>
          <a:ext cx="485775" cy="257175"/>
        </a:xfrm>
        <a:custGeom>
          <a:pathLst>
            <a:path h="17046" w="8053">
              <a:moveTo>
                <a:pt x="8053" y="17046"/>
              </a:moveTo>
              <a:lnTo>
                <a:pt x="5933" y="17037"/>
              </a:lnTo>
              <a:cubicBezTo>
                <a:pt x="5933" y="11358"/>
                <a:pt x="5934" y="5679"/>
                <a:pt x="5934" y="0"/>
              </a:cubicBezTo>
              <a:lnTo>
                <a:pt x="0" y="262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228600</xdr:rowOff>
    </xdr:from>
    <xdr:to>
      <xdr:col>20</xdr:col>
      <xdr:colOff>209550</xdr:colOff>
      <xdr:row>48</xdr:row>
      <xdr:rowOff>28575</xdr:rowOff>
    </xdr:to>
    <xdr:sp>
      <xdr:nvSpPr>
        <xdr:cNvPr id="23" name="Freihandform 35"/>
        <xdr:cNvSpPr>
          <a:spLocks/>
        </xdr:cNvSpPr>
      </xdr:nvSpPr>
      <xdr:spPr>
        <a:xfrm>
          <a:off x="6000750" y="10077450"/>
          <a:ext cx="581025" cy="2028825"/>
        </a:xfrm>
        <a:custGeom>
          <a:pathLst>
            <a:path h="1557799" w="497758">
              <a:moveTo>
                <a:pt x="497758" y="1557799"/>
              </a:moveTo>
              <a:lnTo>
                <a:pt x="0" y="1557799"/>
              </a:lnTo>
              <a:lnTo>
                <a:pt x="0" y="353347"/>
              </a:lnTo>
              <a:lnTo>
                <a:pt x="36871" y="304186"/>
              </a:lnTo>
              <a:lnTo>
                <a:pt x="36871" y="212008"/>
              </a:lnTo>
              <a:lnTo>
                <a:pt x="0" y="172065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0</xdr:rowOff>
    </xdr:from>
    <xdr:to>
      <xdr:col>19</xdr:col>
      <xdr:colOff>19050</xdr:colOff>
      <xdr:row>41</xdr:row>
      <xdr:rowOff>123825</xdr:rowOff>
    </xdr:to>
    <xdr:sp>
      <xdr:nvSpPr>
        <xdr:cNvPr id="24" name="Rectangle 33"/>
        <xdr:cNvSpPr>
          <a:spLocks/>
        </xdr:cNvSpPr>
      </xdr:nvSpPr>
      <xdr:spPr>
        <a:xfrm>
          <a:off x="4991100" y="10344150"/>
          <a:ext cx="1162050" cy="123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38</xdr:row>
      <xdr:rowOff>209550</xdr:rowOff>
    </xdr:from>
    <xdr:to>
      <xdr:col>21</xdr:col>
      <xdr:colOff>9525</xdr:colOff>
      <xdr:row>41</xdr:row>
      <xdr:rowOff>66675</xdr:rowOff>
    </xdr:to>
    <xdr:sp>
      <xdr:nvSpPr>
        <xdr:cNvPr id="25" name="Freeform 5"/>
        <xdr:cNvSpPr>
          <a:spLocks/>
        </xdr:cNvSpPr>
      </xdr:nvSpPr>
      <xdr:spPr>
        <a:xfrm>
          <a:off x="3781425" y="9810750"/>
          <a:ext cx="2838450" cy="600075"/>
        </a:xfrm>
        <a:custGeom>
          <a:pathLst>
            <a:path h="10000" w="10148">
              <a:moveTo>
                <a:pt x="10148" y="5072"/>
              </a:moveTo>
              <a:lnTo>
                <a:pt x="9954" y="5068"/>
              </a:lnTo>
              <a:cubicBezTo>
                <a:pt x="9689" y="6149"/>
                <a:pt x="9343" y="6217"/>
                <a:pt x="9013" y="5068"/>
              </a:cubicBezTo>
              <a:lnTo>
                <a:pt x="8551" y="5067"/>
              </a:lnTo>
              <a:cubicBezTo>
                <a:pt x="8546" y="6711"/>
                <a:pt x="8540" y="8356"/>
                <a:pt x="8535" y="10000"/>
              </a:cubicBezTo>
              <a:lnTo>
                <a:pt x="16" y="9999"/>
              </a:lnTo>
              <a:cubicBezTo>
                <a:pt x="0" y="6913"/>
                <a:pt x="20" y="3333"/>
                <a:pt x="20" y="0"/>
              </a:cubicBez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39</xdr:row>
      <xdr:rowOff>180975</xdr:rowOff>
    </xdr:from>
    <xdr:to>
      <xdr:col>20</xdr:col>
      <xdr:colOff>180975</xdr:colOff>
      <xdr:row>40</xdr:row>
      <xdr:rowOff>104775</xdr:rowOff>
    </xdr:to>
    <xdr:sp>
      <xdr:nvSpPr>
        <xdr:cNvPr id="26" name="Rectangle 33"/>
        <xdr:cNvSpPr>
          <a:spLocks/>
        </xdr:cNvSpPr>
      </xdr:nvSpPr>
      <xdr:spPr>
        <a:xfrm>
          <a:off x="6400800" y="10029825"/>
          <a:ext cx="15240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38</xdr:row>
      <xdr:rowOff>28575</xdr:rowOff>
    </xdr:from>
    <xdr:to>
      <xdr:col>20</xdr:col>
      <xdr:colOff>238125</xdr:colOff>
      <xdr:row>44</xdr:row>
      <xdr:rowOff>28575</xdr:rowOff>
    </xdr:to>
    <xdr:sp>
      <xdr:nvSpPr>
        <xdr:cNvPr id="27" name="Freeform 5"/>
        <xdr:cNvSpPr>
          <a:spLocks/>
        </xdr:cNvSpPr>
      </xdr:nvSpPr>
      <xdr:spPr>
        <a:xfrm>
          <a:off x="6124575" y="9629775"/>
          <a:ext cx="485775" cy="1485900"/>
        </a:xfrm>
        <a:custGeom>
          <a:pathLst>
            <a:path h="17092" w="8114">
              <a:moveTo>
                <a:pt x="8114" y="17092"/>
              </a:moveTo>
              <a:lnTo>
                <a:pt x="5994" y="17083"/>
              </a:lnTo>
              <a:cubicBezTo>
                <a:pt x="5994" y="11404"/>
                <a:pt x="5995" y="5725"/>
                <a:pt x="5995" y="46"/>
              </a:cubicBez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54</xdr:row>
      <xdr:rowOff>28575</xdr:rowOff>
    </xdr:from>
    <xdr:to>
      <xdr:col>21</xdr:col>
      <xdr:colOff>0</xdr:colOff>
      <xdr:row>55</xdr:row>
      <xdr:rowOff>38100</xdr:rowOff>
    </xdr:to>
    <xdr:sp>
      <xdr:nvSpPr>
        <xdr:cNvPr id="28" name="Freeform 5"/>
        <xdr:cNvSpPr>
          <a:spLocks/>
        </xdr:cNvSpPr>
      </xdr:nvSpPr>
      <xdr:spPr>
        <a:xfrm flipV="1">
          <a:off x="6115050" y="13592175"/>
          <a:ext cx="495300" cy="257175"/>
        </a:xfrm>
        <a:custGeom>
          <a:pathLst>
            <a:path h="17046" w="8053">
              <a:moveTo>
                <a:pt x="8053" y="17046"/>
              </a:moveTo>
              <a:lnTo>
                <a:pt x="5933" y="17037"/>
              </a:lnTo>
              <a:cubicBezTo>
                <a:pt x="5933" y="11358"/>
                <a:pt x="5934" y="5679"/>
                <a:pt x="5934" y="0"/>
              </a:cubicBezTo>
              <a:lnTo>
                <a:pt x="0" y="262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57</xdr:row>
      <xdr:rowOff>209550</xdr:rowOff>
    </xdr:from>
    <xdr:to>
      <xdr:col>20</xdr:col>
      <xdr:colOff>209550</xdr:colOff>
      <xdr:row>62</xdr:row>
      <xdr:rowOff>28575</xdr:rowOff>
    </xdr:to>
    <xdr:sp>
      <xdr:nvSpPr>
        <xdr:cNvPr id="29" name="Freihandform 32"/>
        <xdr:cNvSpPr>
          <a:spLocks/>
        </xdr:cNvSpPr>
      </xdr:nvSpPr>
      <xdr:spPr>
        <a:xfrm>
          <a:off x="6096000" y="14516100"/>
          <a:ext cx="485775" cy="1057275"/>
        </a:xfrm>
        <a:custGeom>
          <a:pathLst>
            <a:path h="1557799" w="497758">
              <a:moveTo>
                <a:pt x="497758" y="1557799"/>
              </a:moveTo>
              <a:lnTo>
                <a:pt x="0" y="1557799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56</xdr:row>
      <xdr:rowOff>19050</xdr:rowOff>
    </xdr:from>
    <xdr:to>
      <xdr:col>21</xdr:col>
      <xdr:colOff>0</xdr:colOff>
      <xdr:row>58</xdr:row>
      <xdr:rowOff>28575</xdr:rowOff>
    </xdr:to>
    <xdr:sp>
      <xdr:nvSpPr>
        <xdr:cNvPr id="30" name="Freeform 5"/>
        <xdr:cNvSpPr>
          <a:spLocks/>
        </xdr:cNvSpPr>
      </xdr:nvSpPr>
      <xdr:spPr>
        <a:xfrm>
          <a:off x="6115050" y="14077950"/>
          <a:ext cx="495300" cy="504825"/>
        </a:xfrm>
        <a:custGeom>
          <a:pathLst>
            <a:path h="17092" w="8114">
              <a:moveTo>
                <a:pt x="8114" y="17092"/>
              </a:moveTo>
              <a:lnTo>
                <a:pt x="5994" y="17083"/>
              </a:lnTo>
              <a:cubicBezTo>
                <a:pt x="5994" y="11404"/>
                <a:pt x="5995" y="5725"/>
                <a:pt x="5995" y="46"/>
              </a:cubicBez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847725</xdr:colOff>
      <xdr:row>12</xdr:row>
      <xdr:rowOff>209550</xdr:rowOff>
    </xdr:to>
    <xdr:grpSp>
      <xdr:nvGrpSpPr>
        <xdr:cNvPr id="31" name="Group 60">
          <a:hlinkClick r:id="rId3"/>
        </xdr:cNvPr>
        <xdr:cNvGrpSpPr>
          <a:grpSpLocks/>
        </xdr:cNvGrpSpPr>
      </xdr:nvGrpSpPr>
      <xdr:grpSpPr>
        <a:xfrm>
          <a:off x="6610350" y="3162300"/>
          <a:ext cx="1171575" cy="209550"/>
          <a:chOff x="376" y="330"/>
          <a:chExt cx="145" cy="22"/>
        </a:xfrm>
        <a:solidFill>
          <a:srgbClr val="FFFFFF"/>
        </a:solidFill>
      </xdr:grpSpPr>
      <xdr:sp>
        <xdr:nvSpPr>
          <xdr:cNvPr id="32" name="Rectangle 61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62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 Box 63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 fPrintsWithSheet="0"/>
  </xdr:twoCellAnchor>
  <xdr:twoCellAnchor>
    <xdr:from>
      <xdr:col>21</xdr:col>
      <xdr:colOff>0</xdr:colOff>
      <xdr:row>34</xdr:row>
      <xdr:rowOff>0</xdr:rowOff>
    </xdr:from>
    <xdr:to>
      <xdr:col>22</xdr:col>
      <xdr:colOff>847725</xdr:colOff>
      <xdr:row>34</xdr:row>
      <xdr:rowOff>209550</xdr:rowOff>
    </xdr:to>
    <xdr:grpSp>
      <xdr:nvGrpSpPr>
        <xdr:cNvPr id="35" name="Group 60">
          <a:hlinkClick r:id="rId4"/>
        </xdr:cNvPr>
        <xdr:cNvGrpSpPr>
          <a:grpSpLocks/>
        </xdr:cNvGrpSpPr>
      </xdr:nvGrpSpPr>
      <xdr:grpSpPr>
        <a:xfrm>
          <a:off x="6610350" y="8610600"/>
          <a:ext cx="1171575" cy="209550"/>
          <a:chOff x="376" y="330"/>
          <a:chExt cx="145" cy="22"/>
        </a:xfrm>
        <a:solidFill>
          <a:srgbClr val="FFFFFF"/>
        </a:solidFill>
      </xdr:grpSpPr>
      <xdr:sp>
        <xdr:nvSpPr>
          <xdr:cNvPr id="36" name="Rectangle 61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62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63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 fPrintsWithSheet="0"/>
  </xdr:twoCellAnchor>
  <xdr:twoCellAnchor>
    <xdr:from>
      <xdr:col>21</xdr:col>
      <xdr:colOff>0</xdr:colOff>
      <xdr:row>52</xdr:row>
      <xdr:rowOff>0</xdr:rowOff>
    </xdr:from>
    <xdr:to>
      <xdr:col>22</xdr:col>
      <xdr:colOff>847725</xdr:colOff>
      <xdr:row>52</xdr:row>
      <xdr:rowOff>209550</xdr:rowOff>
    </xdr:to>
    <xdr:grpSp>
      <xdr:nvGrpSpPr>
        <xdr:cNvPr id="39" name="Group 60">
          <a:hlinkClick r:id="rId5"/>
        </xdr:cNvPr>
        <xdr:cNvGrpSpPr>
          <a:grpSpLocks/>
        </xdr:cNvGrpSpPr>
      </xdr:nvGrpSpPr>
      <xdr:grpSpPr>
        <a:xfrm>
          <a:off x="6610350" y="13068300"/>
          <a:ext cx="1171575" cy="209550"/>
          <a:chOff x="376" y="330"/>
          <a:chExt cx="145" cy="22"/>
        </a:xfrm>
        <a:solidFill>
          <a:srgbClr val="FFFFFF"/>
        </a:solidFill>
      </xdr:grpSpPr>
      <xdr:sp>
        <xdr:nvSpPr>
          <xdr:cNvPr id="40" name="Rectangle 61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62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63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 fPrintsWithSheet="0"/>
  </xdr:twoCellAnchor>
  <xdr:twoCellAnchor>
    <xdr:from>
      <xdr:col>11</xdr:col>
      <xdr:colOff>19050</xdr:colOff>
      <xdr:row>5</xdr:row>
      <xdr:rowOff>0</xdr:rowOff>
    </xdr:from>
    <xdr:to>
      <xdr:col>18</xdr:col>
      <xdr:colOff>76200</xdr:colOff>
      <xdr:row>11</xdr:row>
      <xdr:rowOff>0</xdr:rowOff>
    </xdr:to>
    <xdr:graphicFrame>
      <xdr:nvGraphicFramePr>
        <xdr:cNvPr id="43" name="Chart 1"/>
        <xdr:cNvGraphicFramePr/>
      </xdr:nvGraphicFramePr>
      <xdr:xfrm>
        <a:off x="3867150" y="1428750"/>
        <a:ext cx="2266950" cy="1485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47625</xdr:colOff>
      <xdr:row>4</xdr:row>
      <xdr:rowOff>38100</xdr:rowOff>
    </xdr:from>
    <xdr:to>
      <xdr:col>20</xdr:col>
      <xdr:colOff>209550</xdr:colOff>
      <xdr:row>9</xdr:row>
      <xdr:rowOff>9525</xdr:rowOff>
    </xdr:to>
    <xdr:sp>
      <xdr:nvSpPr>
        <xdr:cNvPr id="44" name="Freihandform 51"/>
        <xdr:cNvSpPr>
          <a:spLocks/>
        </xdr:cNvSpPr>
      </xdr:nvSpPr>
      <xdr:spPr>
        <a:xfrm>
          <a:off x="2752725" y="1219200"/>
          <a:ext cx="3829050" cy="1209675"/>
        </a:xfrm>
        <a:custGeom>
          <a:pathLst>
            <a:path h="1209675" w="3429000">
              <a:moveTo>
                <a:pt x="3429000" y="0"/>
              </a:moveTo>
              <a:lnTo>
                <a:pt x="3143250" y="0"/>
              </a:lnTo>
              <a:lnTo>
                <a:pt x="3143250" y="123825"/>
              </a:lnTo>
              <a:lnTo>
                <a:pt x="0" y="123825"/>
              </a:lnTo>
              <a:lnTo>
                <a:pt x="0" y="1209675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28575</xdr:rowOff>
    </xdr:from>
    <xdr:to>
      <xdr:col>20</xdr:col>
      <xdr:colOff>209550</xdr:colOff>
      <xdr:row>11</xdr:row>
      <xdr:rowOff>104775</xdr:rowOff>
    </xdr:to>
    <xdr:sp>
      <xdr:nvSpPr>
        <xdr:cNvPr id="45" name="Freihandform 53"/>
        <xdr:cNvSpPr>
          <a:spLocks/>
        </xdr:cNvSpPr>
      </xdr:nvSpPr>
      <xdr:spPr>
        <a:xfrm>
          <a:off x="3762375" y="2200275"/>
          <a:ext cx="2819400" cy="819150"/>
        </a:xfrm>
        <a:custGeom>
          <a:pathLst>
            <a:path h="819150" w="2486025">
              <a:moveTo>
                <a:pt x="2486025" y="0"/>
              </a:moveTo>
              <a:lnTo>
                <a:pt x="2200275" y="0"/>
              </a:lnTo>
              <a:lnTo>
                <a:pt x="2200275" y="819150"/>
              </a:lnTo>
              <a:lnTo>
                <a:pt x="0" y="819150"/>
              </a:lnTo>
              <a:lnTo>
                <a:pt x="0" y="70485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66675</xdr:rowOff>
    </xdr:from>
    <xdr:to>
      <xdr:col>22</xdr:col>
      <xdr:colOff>847725</xdr:colOff>
      <xdr:row>3</xdr:row>
      <xdr:rowOff>76200</xdr:rowOff>
    </xdr:to>
    <xdr:grpSp>
      <xdr:nvGrpSpPr>
        <xdr:cNvPr id="46" name="Group 60">
          <a:hlinkClick r:id="rId7"/>
        </xdr:cNvPr>
        <xdr:cNvGrpSpPr>
          <a:grpSpLocks/>
        </xdr:cNvGrpSpPr>
      </xdr:nvGrpSpPr>
      <xdr:grpSpPr>
        <a:xfrm>
          <a:off x="6610350" y="828675"/>
          <a:ext cx="1171575" cy="219075"/>
          <a:chOff x="376" y="330"/>
          <a:chExt cx="145" cy="22"/>
        </a:xfrm>
        <a:solidFill>
          <a:srgbClr val="FFFFFF"/>
        </a:solidFill>
      </xdr:grpSpPr>
      <xdr:sp>
        <xdr:nvSpPr>
          <xdr:cNvPr id="47" name="Rectangle 61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62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 Box 63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 fPrintsWithSheet="0"/>
  </xdr:twoCellAnchor>
  <xdr:twoCellAnchor>
    <xdr:from>
      <xdr:col>21</xdr:col>
      <xdr:colOff>0</xdr:colOff>
      <xdr:row>72</xdr:row>
      <xdr:rowOff>19050</xdr:rowOff>
    </xdr:from>
    <xdr:to>
      <xdr:col>22</xdr:col>
      <xdr:colOff>847725</xdr:colOff>
      <xdr:row>72</xdr:row>
      <xdr:rowOff>228600</xdr:rowOff>
    </xdr:to>
    <xdr:grpSp>
      <xdr:nvGrpSpPr>
        <xdr:cNvPr id="50" name="Group 60">
          <a:hlinkClick r:id="rId8"/>
        </xdr:cNvPr>
        <xdr:cNvGrpSpPr>
          <a:grpSpLocks/>
        </xdr:cNvGrpSpPr>
      </xdr:nvGrpSpPr>
      <xdr:grpSpPr>
        <a:xfrm>
          <a:off x="6610350" y="18554700"/>
          <a:ext cx="1171575" cy="209550"/>
          <a:chOff x="376" y="330"/>
          <a:chExt cx="145" cy="22"/>
        </a:xfrm>
        <a:solidFill>
          <a:srgbClr val="FFFFFF"/>
        </a:solidFill>
      </xdr:grpSpPr>
      <xdr:sp>
        <xdr:nvSpPr>
          <xdr:cNvPr id="51" name="Rectangle 61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62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 Box 63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 fPrintsWithSheet="0"/>
  </xdr:twoCellAnchor>
  <xdr:twoCellAnchor>
    <xdr:from>
      <xdr:col>21</xdr:col>
      <xdr:colOff>0</xdr:colOff>
      <xdr:row>94</xdr:row>
      <xdr:rowOff>9525</xdr:rowOff>
    </xdr:from>
    <xdr:to>
      <xdr:col>22</xdr:col>
      <xdr:colOff>847725</xdr:colOff>
      <xdr:row>94</xdr:row>
      <xdr:rowOff>219075</xdr:rowOff>
    </xdr:to>
    <xdr:grpSp>
      <xdr:nvGrpSpPr>
        <xdr:cNvPr id="54" name="Group 60">
          <a:hlinkClick r:id="rId9"/>
        </xdr:cNvPr>
        <xdr:cNvGrpSpPr>
          <a:grpSpLocks/>
        </xdr:cNvGrpSpPr>
      </xdr:nvGrpSpPr>
      <xdr:grpSpPr>
        <a:xfrm>
          <a:off x="6610350" y="22202775"/>
          <a:ext cx="1171575" cy="209550"/>
          <a:chOff x="376" y="330"/>
          <a:chExt cx="145" cy="22"/>
        </a:xfrm>
        <a:solidFill>
          <a:srgbClr val="FFFFFF"/>
        </a:solidFill>
      </xdr:grpSpPr>
      <xdr:sp>
        <xdr:nvSpPr>
          <xdr:cNvPr id="55" name="Rectangle 61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62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63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Berechnung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tatic.twoday.net/05%20IKT%20Betriebslehre%20-%203FSL\99%20leistungsfeststellung\02%20tests\14%20sj%2010-11\01%20mkk\prfg-designe\ikt-test%203afsl%20---%20m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aben&amp;Ergebnisse"/>
      <sheetName val="Anlagenverzeichnis"/>
      <sheetName val="Dateneingabe"/>
      <sheetName val="Maschinenkosten"/>
      <sheetName val="Korrektur"/>
    </sheetNames>
    <sheetDataSet>
      <sheetData sheetId="4">
        <row r="44">
          <cell r="B44" t="str">
            <v>Abentung Michael</v>
          </cell>
        </row>
        <row r="45">
          <cell r="B45" t="str">
            <v>Achenrainer Marco</v>
          </cell>
        </row>
        <row r="46">
          <cell r="B46" t="str">
            <v>Auer Florian</v>
          </cell>
        </row>
        <row r="47">
          <cell r="B47" t="str">
            <v>Auer Stefan</v>
          </cell>
        </row>
        <row r="48">
          <cell r="B48" t="str">
            <v>Bohn Benedikt</v>
          </cell>
        </row>
        <row r="49">
          <cell r="B49" t="str">
            <v>Dichtl Daniel</v>
          </cell>
        </row>
        <row r="50">
          <cell r="B50" t="str">
            <v>Dilitz Elias</v>
          </cell>
        </row>
        <row r="51">
          <cell r="B51" t="str">
            <v>Eller Johannes</v>
          </cell>
        </row>
        <row r="52">
          <cell r="B52" t="str">
            <v>Ennemoser Mario</v>
          </cell>
        </row>
        <row r="53">
          <cell r="B53" t="str">
            <v>Feuchter Simon</v>
          </cell>
        </row>
        <row r="54">
          <cell r="B54" t="str">
            <v>File Georg</v>
          </cell>
        </row>
        <row r="55">
          <cell r="B55" t="str">
            <v>Gigele Sandro</v>
          </cell>
        </row>
        <row r="56">
          <cell r="B56" t="str">
            <v>Gitterle Michael</v>
          </cell>
        </row>
        <row r="57">
          <cell r="B57" t="str">
            <v>Greil Simon</v>
          </cell>
        </row>
        <row r="58">
          <cell r="B58" t="str">
            <v>Grießer Gabriel</v>
          </cell>
        </row>
        <row r="59">
          <cell r="B59" t="str">
            <v>Guem Simon</v>
          </cell>
        </row>
        <row r="60">
          <cell r="B60" t="str">
            <v>Juen Emanuel</v>
          </cell>
        </row>
        <row r="61">
          <cell r="B61" t="str">
            <v>Juen Peter</v>
          </cell>
        </row>
        <row r="62">
          <cell r="B62" t="str">
            <v>Kathrein Mark</v>
          </cell>
        </row>
        <row r="63">
          <cell r="B63" t="str">
            <v>Kathrein Philipp</v>
          </cell>
        </row>
        <row r="64">
          <cell r="B64" t="str">
            <v>Kleinheinz Hannes</v>
          </cell>
        </row>
        <row r="65">
          <cell r="B65" t="str">
            <v>Kneringer Andrä</v>
          </cell>
        </row>
        <row r="66">
          <cell r="B66" t="str">
            <v>Kuen Lukas</v>
          </cell>
        </row>
        <row r="67">
          <cell r="B67" t="str">
            <v>Ladner Franz</v>
          </cell>
        </row>
        <row r="68">
          <cell r="B68" t="str">
            <v>Neururer Daniel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7"/>
  </sheetPr>
  <dimension ref="A1:H43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6" sqref="C6:E6"/>
    </sheetView>
  </sheetViews>
  <sheetFormatPr defaultColWidth="0" defaultRowHeight="15" customHeight="1" zeroHeight="1"/>
  <cols>
    <col min="1" max="1" width="6.77734375" style="0" customWidth="1"/>
    <col min="2" max="2" width="14.77734375" style="0" customWidth="1"/>
    <col min="3" max="3" width="12.77734375" style="0" customWidth="1"/>
    <col min="4" max="4" width="2.77734375" style="0" customWidth="1"/>
    <col min="5" max="5" width="26.77734375" style="0" customWidth="1"/>
    <col min="6" max="6" width="12.77734375" style="0" customWidth="1"/>
    <col min="7" max="7" width="6.77734375" style="0" customWidth="1"/>
    <col min="8" max="8" width="18.77734375" style="0" customWidth="1"/>
    <col min="9" max="16384" width="11.4453125" style="0" hidden="1" customWidth="1"/>
  </cols>
  <sheetData>
    <row r="1" spans="1:8" ht="39.75" customHeight="1">
      <c r="A1" s="85" t="s">
        <v>29</v>
      </c>
      <c r="B1" s="76"/>
      <c r="C1" s="76"/>
      <c r="D1" s="76"/>
      <c r="E1" s="76"/>
      <c r="F1" s="76"/>
      <c r="G1" s="76"/>
      <c r="H1" s="33"/>
    </row>
    <row r="2" spans="1:8" ht="30" customHeight="1">
      <c r="A2" s="77"/>
      <c r="B2" s="77"/>
      <c r="C2" s="77"/>
      <c r="D2" s="77"/>
      <c r="E2" s="77"/>
      <c r="F2" s="77"/>
      <c r="G2" s="77"/>
      <c r="H2" s="33"/>
    </row>
    <row r="3" spans="1:8" ht="15" customHeight="1">
      <c r="A3" s="77"/>
      <c r="B3" s="78" t="s">
        <v>26</v>
      </c>
      <c r="C3" s="108" t="s">
        <v>30</v>
      </c>
      <c r="D3" s="77"/>
      <c r="E3" s="241" t="s">
        <v>141</v>
      </c>
      <c r="F3" s="77"/>
      <c r="G3" s="77"/>
      <c r="H3" s="33"/>
    </row>
    <row r="4" spans="1:8" ht="12.75" customHeight="1">
      <c r="A4" s="77"/>
      <c r="B4" s="77"/>
      <c r="C4" s="77"/>
      <c r="D4" s="77"/>
      <c r="E4" s="77"/>
      <c r="F4" s="77"/>
      <c r="G4" s="77"/>
      <c r="H4" s="33"/>
    </row>
    <row r="5" spans="1:8" ht="15" customHeight="1">
      <c r="A5" s="29"/>
      <c r="B5" s="29"/>
      <c r="C5" s="29"/>
      <c r="D5" s="29"/>
      <c r="E5" s="29"/>
      <c r="F5" s="29"/>
      <c r="G5" s="29"/>
      <c r="H5" s="33"/>
    </row>
    <row r="6" spans="1:8" ht="24.75" customHeight="1">
      <c r="A6" s="29"/>
      <c r="B6" s="109" t="s">
        <v>100</v>
      </c>
      <c r="C6" s="247" t="s">
        <v>101</v>
      </c>
      <c r="D6" s="248"/>
      <c r="E6" s="249"/>
      <c r="F6" s="29"/>
      <c r="G6" s="29"/>
      <c r="H6" s="33"/>
    </row>
    <row r="7" spans="1:8" ht="6" customHeight="1">
      <c r="A7" s="29"/>
      <c r="B7" s="109"/>
      <c r="C7" s="109"/>
      <c r="D7" s="109"/>
      <c r="E7" s="109"/>
      <c r="F7" s="109"/>
      <c r="G7" s="109"/>
      <c r="H7" s="33"/>
    </row>
    <row r="8" spans="1:8" ht="19.5" customHeight="1">
      <c r="A8" s="29"/>
      <c r="B8" s="109" t="s">
        <v>134</v>
      </c>
      <c r="C8" s="109"/>
      <c r="D8" s="159" t="s">
        <v>118</v>
      </c>
      <c r="E8" s="109" t="s">
        <v>133</v>
      </c>
      <c r="F8" s="29"/>
      <c r="G8" s="29"/>
      <c r="H8" s="33"/>
    </row>
    <row r="9" spans="1:8" ht="49.5" customHeight="1">
      <c r="A9" s="29"/>
      <c r="B9" s="29"/>
      <c r="C9" s="28"/>
      <c r="D9" s="30"/>
      <c r="E9" s="30"/>
      <c r="F9" s="30"/>
      <c r="G9" s="80"/>
      <c r="H9" s="33"/>
    </row>
    <row r="10" spans="1:8" ht="19.5" customHeight="1">
      <c r="A10" s="29"/>
      <c r="B10" s="81" t="s">
        <v>27</v>
      </c>
      <c r="C10" s="68" t="s">
        <v>64</v>
      </c>
      <c r="D10" s="89" t="s">
        <v>88</v>
      </c>
      <c r="E10" s="79"/>
      <c r="F10" s="38"/>
      <c r="G10" s="33"/>
      <c r="H10" s="33"/>
    </row>
    <row r="11" spans="1:8" ht="3.75" customHeight="1">
      <c r="A11" s="29"/>
      <c r="B11" s="30"/>
      <c r="C11" s="69"/>
      <c r="D11" s="31"/>
      <c r="E11" s="79"/>
      <c r="F11" s="32"/>
      <c r="G11" s="33"/>
      <c r="H11" s="33"/>
    </row>
    <row r="12" spans="1:8" ht="19.5" customHeight="1">
      <c r="A12" s="29"/>
      <c r="B12" s="81" t="s">
        <v>1</v>
      </c>
      <c r="C12" s="70">
        <v>32500</v>
      </c>
      <c r="D12" s="33"/>
      <c r="E12" s="33"/>
      <c r="F12" s="33"/>
      <c r="G12" s="33"/>
      <c r="H12" s="33"/>
    </row>
    <row r="13" spans="1:8" ht="3.75" customHeight="1">
      <c r="A13" s="29"/>
      <c r="B13" s="34"/>
      <c r="C13" s="71"/>
      <c r="D13" s="33"/>
      <c r="E13" s="33"/>
      <c r="F13" s="33"/>
      <c r="G13" s="33"/>
      <c r="H13" s="33"/>
    </row>
    <row r="14" spans="1:8" ht="19.5" customHeight="1">
      <c r="A14" s="29"/>
      <c r="B14" s="81" t="s">
        <v>2</v>
      </c>
      <c r="C14" s="72">
        <v>2002</v>
      </c>
      <c r="D14" s="33"/>
      <c r="E14" s="101" t="s">
        <v>22</v>
      </c>
      <c r="F14" s="83">
        <v>122</v>
      </c>
      <c r="G14" s="33"/>
      <c r="H14" s="33"/>
    </row>
    <row r="15" spans="1:8" ht="3.75" customHeight="1">
      <c r="A15" s="29"/>
      <c r="B15" s="34"/>
      <c r="C15" s="71"/>
      <c r="D15" s="33"/>
      <c r="E15" s="102"/>
      <c r="F15" s="71"/>
      <c r="G15" s="33"/>
      <c r="H15" s="33"/>
    </row>
    <row r="16" spans="1:8" ht="19.5" customHeight="1">
      <c r="A16" s="29"/>
      <c r="B16" s="81" t="s">
        <v>3</v>
      </c>
      <c r="C16" s="73">
        <v>15</v>
      </c>
      <c r="D16" s="33"/>
      <c r="E16" s="103" t="s">
        <v>23</v>
      </c>
      <c r="F16" s="72">
        <f ca="1">YEAR(TODAY())</f>
        <v>2014</v>
      </c>
      <c r="G16" s="33"/>
      <c r="H16" s="33"/>
    </row>
    <row r="17" spans="1:8" ht="49.5" customHeight="1">
      <c r="A17" s="29"/>
      <c r="B17" s="29"/>
      <c r="C17" s="29"/>
      <c r="D17" s="29"/>
      <c r="E17" s="104"/>
      <c r="F17" s="29"/>
      <c r="G17" s="29"/>
      <c r="H17" s="33"/>
    </row>
    <row r="18" spans="1:8" ht="13.5" customHeight="1">
      <c r="A18" s="29"/>
      <c r="B18" s="27"/>
      <c r="C18" s="87"/>
      <c r="D18" s="27"/>
      <c r="E18" s="103"/>
      <c r="F18" s="87"/>
      <c r="G18" s="33"/>
      <c r="H18" s="33"/>
    </row>
    <row r="19" spans="1:8" ht="15" customHeight="1">
      <c r="A19" s="29"/>
      <c r="B19" s="81" t="s">
        <v>20</v>
      </c>
      <c r="C19" s="71"/>
      <c r="D19" s="33"/>
      <c r="E19" s="105"/>
      <c r="F19" s="71"/>
      <c r="G19" s="33"/>
      <c r="H19" s="33"/>
    </row>
    <row r="20" spans="1:8" ht="19.5" customHeight="1">
      <c r="A20" s="29"/>
      <c r="B20" s="90" t="s">
        <v>91</v>
      </c>
      <c r="C20" s="74">
        <v>0.01</v>
      </c>
      <c r="D20" s="33"/>
      <c r="E20" s="106" t="s">
        <v>92</v>
      </c>
      <c r="F20" s="74">
        <v>0.03</v>
      </c>
      <c r="G20" s="33"/>
      <c r="H20" s="33"/>
    </row>
    <row r="21" spans="1:8" ht="3.75" customHeight="1">
      <c r="A21" s="29"/>
      <c r="B21" s="35"/>
      <c r="C21" s="71"/>
      <c r="D21" s="33"/>
      <c r="E21" s="107"/>
      <c r="F21" s="71"/>
      <c r="G21" s="33"/>
      <c r="H21" s="33"/>
    </row>
    <row r="22" spans="1:8" ht="19.5" customHeight="1">
      <c r="A22" s="29"/>
      <c r="B22" s="90" t="s">
        <v>90</v>
      </c>
      <c r="C22" s="70">
        <v>223</v>
      </c>
      <c r="D22" s="33"/>
      <c r="E22" s="101" t="s">
        <v>24</v>
      </c>
      <c r="F22" s="70">
        <v>7.33</v>
      </c>
      <c r="G22" s="33"/>
      <c r="H22" s="33"/>
    </row>
    <row r="23" spans="1:8" ht="24" customHeight="1">
      <c r="A23" s="29"/>
      <c r="B23" s="86"/>
      <c r="C23" s="250" t="s">
        <v>87</v>
      </c>
      <c r="D23" s="250"/>
      <c r="E23" s="250"/>
      <c r="F23" s="86"/>
      <c r="G23" s="33"/>
      <c r="H23" s="91"/>
    </row>
    <row r="24" spans="1:8" ht="6" customHeight="1">
      <c r="A24" s="29"/>
      <c r="B24" s="86"/>
      <c r="C24" s="88"/>
      <c r="D24" s="88"/>
      <c r="E24" s="88"/>
      <c r="F24" s="86"/>
      <c r="G24" s="33"/>
      <c r="H24" s="33"/>
    </row>
    <row r="25" spans="1:8" ht="19.5" customHeight="1">
      <c r="A25" s="29"/>
      <c r="B25" s="81" t="s">
        <v>21</v>
      </c>
      <c r="C25" s="75"/>
      <c r="D25" s="33"/>
      <c r="E25" s="101" t="s">
        <v>25</v>
      </c>
      <c r="F25" s="84">
        <v>0.008</v>
      </c>
      <c r="G25" s="33"/>
      <c r="H25" s="33"/>
    </row>
    <row r="26" spans="1:8" ht="1.5" customHeight="1">
      <c r="A26" s="29"/>
      <c r="B26" s="34"/>
      <c r="C26" s="75"/>
      <c r="D26" s="33"/>
      <c r="E26" s="36"/>
      <c r="F26" s="36"/>
      <c r="G26" s="33"/>
      <c r="H26" s="33"/>
    </row>
    <row r="27" spans="1:8" ht="19.5" customHeight="1">
      <c r="A27" s="29"/>
      <c r="B27" s="90" t="s">
        <v>89</v>
      </c>
      <c r="C27" s="74">
        <v>0.01</v>
      </c>
      <c r="D27" s="33"/>
      <c r="E27" s="36"/>
      <c r="F27" s="36"/>
      <c r="G27" s="33"/>
      <c r="H27" s="33"/>
    </row>
    <row r="28" spans="1:8" ht="3.75" customHeight="1">
      <c r="A28" s="29"/>
      <c r="B28" s="35"/>
      <c r="C28" s="71"/>
      <c r="D28" s="33"/>
      <c r="E28" s="33"/>
      <c r="F28" s="33"/>
      <c r="G28" s="33"/>
      <c r="H28" s="33"/>
    </row>
    <row r="29" spans="1:8" ht="19.5" customHeight="1">
      <c r="A29" s="29"/>
      <c r="B29" s="90" t="s">
        <v>90</v>
      </c>
      <c r="C29" s="70"/>
      <c r="D29" s="33"/>
      <c r="E29" s="33"/>
      <c r="F29" s="33"/>
      <c r="G29" s="33"/>
      <c r="H29" s="33"/>
    </row>
    <row r="30" spans="1:8" ht="24" customHeight="1">
      <c r="A30" s="37"/>
      <c r="B30" s="86"/>
      <c r="C30" s="250" t="s">
        <v>87</v>
      </c>
      <c r="D30" s="250"/>
      <c r="E30" s="250"/>
      <c r="F30" s="86"/>
      <c r="G30" s="86"/>
      <c r="H30" s="33"/>
    </row>
    <row r="31" spans="1:8" ht="30" customHeight="1">
      <c r="A31" s="37"/>
      <c r="B31" s="86"/>
      <c r="C31" s="88"/>
      <c r="D31" s="88"/>
      <c r="E31" s="88"/>
      <c r="F31" s="86"/>
      <c r="G31" s="86"/>
      <c r="H31" s="91"/>
    </row>
    <row r="32" spans="1:8" ht="30" customHeight="1">
      <c r="A32" s="110"/>
      <c r="B32" s="111"/>
      <c r="C32" s="112"/>
      <c r="D32" s="112"/>
      <c r="E32" s="112"/>
      <c r="F32" s="111"/>
      <c r="G32" s="111"/>
      <c r="H32" s="33"/>
    </row>
    <row r="33" spans="1:8" ht="19.5" customHeight="1">
      <c r="A33" s="110"/>
      <c r="B33" s="162" t="str">
        <f>IF(D8="","Eingabe nicht nötig!","Maschinenrungtarif")</f>
        <v>Maschinenrungtarif</v>
      </c>
      <c r="C33" s="116">
        <v>42.15</v>
      </c>
      <c r="D33" s="115" t="str">
        <f>IF(D8="","","*)")</f>
        <v>*)</v>
      </c>
      <c r="E33" s="246" t="str">
        <f>IF(D8="","","an dieser Stelle musst du zur Berechnung der Mindestauslastung der Maschine folgende Daten angeben:")</f>
        <v>an dieser Stelle musst du zur Berechnung der Mindestauslastung der Maschine folgende Daten angeben:</v>
      </c>
      <c r="F33" s="246"/>
      <c r="G33" s="111"/>
      <c r="H33" s="33"/>
    </row>
    <row r="34" spans="1:8" ht="3.75" customHeight="1">
      <c r="A34" s="110"/>
      <c r="B34" s="162"/>
      <c r="C34" s="114"/>
      <c r="D34" s="112"/>
      <c r="E34" s="246" t="str">
        <f>IF(D8="","","• Maschinenringtarif pro Maschinenstunde (Mh)
• Lohnansatz pro Arbeitskraftstunde (Akh)")</f>
        <v>• Maschinenringtarif pro Maschinenstunde (Mh)
• Lohnansatz pro Arbeitskraftstunde (Akh)</v>
      </c>
      <c r="F34" s="246"/>
      <c r="G34" s="111"/>
      <c r="H34" s="33"/>
    </row>
    <row r="35" spans="1:8" ht="19.5" customHeight="1">
      <c r="A35" s="110"/>
      <c r="B35" s="162" t="str">
        <f>IF(D8="","","Lohnansatz")</f>
        <v>Lohnansatz</v>
      </c>
      <c r="C35" s="117">
        <v>11</v>
      </c>
      <c r="D35" s="112"/>
      <c r="E35" s="246"/>
      <c r="F35" s="246"/>
      <c r="G35" s="111"/>
      <c r="H35" s="33"/>
    </row>
    <row r="36" spans="1:8" ht="30" customHeight="1">
      <c r="A36" s="110"/>
      <c r="B36" s="113"/>
      <c r="C36" s="113"/>
      <c r="D36" s="112"/>
      <c r="E36" s="112"/>
      <c r="F36" s="111"/>
      <c r="G36" s="111"/>
      <c r="H36" s="33"/>
    </row>
    <row r="37" spans="1:8" ht="19.5" customHeight="1">
      <c r="A37" s="37"/>
      <c r="B37" s="86"/>
      <c r="C37" s="88"/>
      <c r="D37" s="88"/>
      <c r="E37" s="88"/>
      <c r="F37" s="86"/>
      <c r="G37" s="86"/>
      <c r="H37" s="33"/>
    </row>
    <row r="38" spans="1:8" ht="15" customHeight="1">
      <c r="A38" s="39" t="s">
        <v>59</v>
      </c>
      <c r="B38" s="82"/>
      <c r="C38" s="82"/>
      <c r="D38" s="82"/>
      <c r="E38" s="82"/>
      <c r="F38" s="82"/>
      <c r="G38" s="366" t="s">
        <v>142</v>
      </c>
      <c r="H38" s="33"/>
    </row>
    <row r="39" spans="1:8" ht="15" customHeight="1">
      <c r="A39" s="79"/>
      <c r="B39" s="79"/>
      <c r="C39" s="79"/>
      <c r="D39" s="79"/>
      <c r="E39" s="79"/>
      <c r="F39" s="79"/>
      <c r="G39" s="79"/>
      <c r="H39" s="33"/>
    </row>
    <row r="40" ht="15" customHeight="1" hidden="1"/>
    <row r="41" ht="15" customHeight="1" hidden="1">
      <c r="D41" s="158" t="s">
        <v>132</v>
      </c>
    </row>
    <row r="42" ht="15" customHeight="1" hidden="1">
      <c r="D42" s="156" t="s">
        <v>118</v>
      </c>
    </row>
    <row r="43" ht="15" customHeight="1" hidden="1">
      <c r="D43" s="157"/>
    </row>
  </sheetData>
  <sheetProtection sheet="1" objects="1" scenarios="1" selectLockedCells="1"/>
  <mergeCells count="5">
    <mergeCell ref="E34:F35"/>
    <mergeCell ref="C6:E6"/>
    <mergeCell ref="C23:E23"/>
    <mergeCell ref="C30:E30"/>
    <mergeCell ref="E33:F33"/>
  </mergeCells>
  <conditionalFormatting sqref="C20">
    <cfRule type="expression" priority="4" dxfId="32" stopIfTrue="1">
      <formula>$C$22&lt;&gt;""</formula>
    </cfRule>
  </conditionalFormatting>
  <conditionalFormatting sqref="C27">
    <cfRule type="expression" priority="5" dxfId="32" stopIfTrue="1">
      <formula>$C$29&lt;&gt;""</formula>
    </cfRule>
  </conditionalFormatting>
  <conditionalFormatting sqref="A32:G36">
    <cfRule type="expression" priority="3" dxfId="0" stopIfTrue="1">
      <formula>$D$8=""</formula>
    </cfRule>
  </conditionalFormatting>
  <conditionalFormatting sqref="C33 C35">
    <cfRule type="expression" priority="1" dxfId="33" stopIfTrue="1">
      <formula>$D$8&lt;&gt;"x"</formula>
    </cfRule>
  </conditionalFormatting>
  <dataValidations count="1">
    <dataValidation type="list" allowBlank="1" showInputMessage="1" showErrorMessage="1" sqref="D8">
      <formula1>ja</formula1>
    </dataValidation>
  </dataValidations>
  <printOptions/>
  <pageMargins left="0.3937007874015748" right="0.3937007874015748" top="0.3937007874015748" bottom="0" header="0" footer="0"/>
  <pageSetup blackAndWhite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V100"/>
  <sheetViews>
    <sheetView showGridLines="0" showRowColHeaders="0" tabSelected="1" zoomScalePageLayoutView="0" workbookViewId="0" topLeftCell="A1">
      <pane ySplit="11" topLeftCell="A12" activePane="bottomLeft" state="frozen"/>
      <selection pane="topLeft" activeCell="A1" sqref="A1"/>
      <selection pane="bottomLeft" activeCell="H10" sqref="H10:K10"/>
    </sheetView>
  </sheetViews>
  <sheetFormatPr defaultColWidth="0" defaultRowHeight="15" zeroHeight="1"/>
  <cols>
    <col min="1" max="1" width="1.77734375" style="1" customWidth="1"/>
    <col min="2" max="2" width="0.88671875" style="1" customWidth="1"/>
    <col min="3" max="7" width="5.77734375" style="1" customWidth="1"/>
    <col min="8" max="8" width="0.88671875" style="1" customWidth="1"/>
    <col min="9" max="9" width="5.77734375" style="1" customWidth="1"/>
    <col min="10" max="10" width="0.88671875" style="1" customWidth="1"/>
    <col min="11" max="11" width="5.77734375" style="1" customWidth="1"/>
    <col min="12" max="12" width="0.88671875" style="1" customWidth="1"/>
    <col min="13" max="13" width="5.77734375" style="1" customWidth="1"/>
    <col min="14" max="14" width="0.88671875" style="1" customWidth="1"/>
    <col min="15" max="15" width="5.77734375" style="1" customWidth="1"/>
    <col min="16" max="16" width="0.88671875" style="1" customWidth="1"/>
    <col min="17" max="18" width="5.77734375" style="1" customWidth="1"/>
    <col min="19" max="19" width="0.88671875" style="1" customWidth="1"/>
    <col min="20" max="20" width="1.77734375" style="1" customWidth="1"/>
    <col min="21" max="21" width="14.77734375" style="1" customWidth="1"/>
    <col min="22" max="22" width="1.77734375" style="1" customWidth="1"/>
    <col min="23" max="16384" width="0" style="1" hidden="1" customWidth="1"/>
  </cols>
  <sheetData>
    <row r="1" spans="1:22" ht="30" customHeight="1">
      <c r="A1" s="173" t="str">
        <f>"Maschinenkostenrechnung: "&amp;CONCATENATE(Dateneingabe!C6," - ",Dateneingabe!C10)</f>
        <v>Maschinenkostenrechnung: Allradtraktor - 45 KW</v>
      </c>
      <c r="B1" s="41"/>
      <c r="C1" s="41"/>
      <c r="D1" s="41"/>
      <c r="E1" s="41"/>
      <c r="F1" s="41"/>
      <c r="G1" s="42"/>
      <c r="H1" s="42"/>
      <c r="I1" s="42"/>
      <c r="J1" s="42"/>
      <c r="K1" s="43"/>
      <c r="L1" s="43"/>
      <c r="M1" s="40"/>
      <c r="N1" s="40"/>
      <c r="O1" s="40"/>
      <c r="P1" s="40"/>
      <c r="Q1" s="40"/>
      <c r="R1" s="40"/>
      <c r="S1" s="40"/>
      <c r="T1" s="40"/>
      <c r="U1" s="15"/>
      <c r="V1" s="15"/>
    </row>
    <row r="2" spans="1:22" ht="30" customHeight="1" thickBot="1">
      <c r="A2" s="6"/>
      <c r="B2" s="6"/>
      <c r="C2" s="6"/>
      <c r="D2" s="6"/>
      <c r="E2" s="6"/>
      <c r="F2" s="6"/>
      <c r="G2" s="6"/>
      <c r="H2" s="6"/>
      <c r="I2" s="93"/>
      <c r="J2" s="93"/>
      <c r="K2" s="6"/>
      <c r="L2" s="6"/>
      <c r="M2" s="6"/>
      <c r="N2" s="6"/>
      <c r="O2" s="6"/>
      <c r="P2" s="6"/>
      <c r="Q2" s="6"/>
      <c r="R2" s="6"/>
      <c r="S2" s="6"/>
      <c r="T2" s="6"/>
      <c r="U2" s="15"/>
      <c r="V2" s="15"/>
    </row>
    <row r="3" spans="1:22" ht="16.5" customHeight="1" thickBot="1">
      <c r="A3" s="6"/>
      <c r="B3" s="7"/>
      <c r="C3" s="7"/>
      <c r="D3" s="7"/>
      <c r="E3" s="7"/>
      <c r="F3" s="7"/>
      <c r="G3" s="16" t="s">
        <v>32</v>
      </c>
      <c r="H3" s="303" t="s">
        <v>33</v>
      </c>
      <c r="I3" s="304"/>
      <c r="J3" s="304"/>
      <c r="K3" s="305"/>
      <c r="L3" s="7"/>
      <c r="M3" s="7"/>
      <c r="N3" s="7"/>
      <c r="O3" s="7"/>
      <c r="P3" s="7"/>
      <c r="Q3" s="7"/>
      <c r="R3" s="7"/>
      <c r="S3" s="7"/>
      <c r="T3" s="6"/>
      <c r="U3" s="15"/>
      <c r="V3" s="15"/>
    </row>
    <row r="4" spans="1:22" ht="16.5" customHeight="1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7"/>
      <c r="V4" s="15"/>
    </row>
    <row r="5" spans="1:22" ht="19.5" customHeight="1">
      <c r="A5" s="8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17"/>
      <c r="V5" s="15"/>
    </row>
    <row r="6" spans="1:22" ht="19.5" customHeight="1">
      <c r="A6" s="8"/>
      <c r="B6" s="2" t="s">
        <v>1</v>
      </c>
      <c r="C6" s="2"/>
      <c r="D6" s="2"/>
      <c r="E6" s="2"/>
      <c r="F6" s="2"/>
      <c r="G6" s="2"/>
      <c r="H6" s="300">
        <f>IF(Dateneingabe!C12="","",Dateneingabe!C12)</f>
        <v>32500</v>
      </c>
      <c r="I6" s="301"/>
      <c r="J6" s="301"/>
      <c r="K6" s="302"/>
      <c r="L6" s="129"/>
      <c r="M6" s="128"/>
      <c r="N6" s="128"/>
      <c r="O6" s="133"/>
      <c r="P6" s="133"/>
      <c r="Q6" s="133"/>
      <c r="R6" s="133"/>
      <c r="S6" s="59"/>
      <c r="T6" s="8"/>
      <c r="U6" s="17"/>
      <c r="V6" s="15"/>
    </row>
    <row r="7" spans="1:22" ht="19.5" customHeight="1">
      <c r="A7" s="8"/>
      <c r="B7" s="2" t="s">
        <v>2</v>
      </c>
      <c r="C7" s="2"/>
      <c r="D7" s="2"/>
      <c r="E7" s="2"/>
      <c r="F7" s="2"/>
      <c r="G7" s="2"/>
      <c r="H7" s="297">
        <f>IF(Dateneingabe!C14="","",Dateneingabe!C14)</f>
        <v>2002</v>
      </c>
      <c r="I7" s="298"/>
      <c r="J7" s="298"/>
      <c r="K7" s="299"/>
      <c r="L7" s="130"/>
      <c r="M7" s="61"/>
      <c r="N7" s="61"/>
      <c r="O7" s="61"/>
      <c r="P7" s="61"/>
      <c r="Q7" s="61"/>
      <c r="R7" s="61"/>
      <c r="S7" s="60"/>
      <c r="T7" s="8"/>
      <c r="U7" s="17"/>
      <c r="V7" s="15"/>
    </row>
    <row r="8" spans="1:22" ht="19.5" customHeight="1">
      <c r="A8" s="8"/>
      <c r="B8" s="2" t="s">
        <v>3</v>
      </c>
      <c r="C8" s="2"/>
      <c r="D8" s="2"/>
      <c r="E8" s="2"/>
      <c r="F8" s="2"/>
      <c r="G8" s="2"/>
      <c r="H8" s="287">
        <f>IF(Dateneingabe!C16="","",Dateneingabe!C16)</f>
        <v>15</v>
      </c>
      <c r="I8" s="288"/>
      <c r="J8" s="288"/>
      <c r="K8" s="289"/>
      <c r="L8" s="131"/>
      <c r="M8" s="61"/>
      <c r="N8" s="61"/>
      <c r="O8" s="61"/>
      <c r="P8" s="61"/>
      <c r="Q8" s="61"/>
      <c r="R8" s="61"/>
      <c r="S8" s="60"/>
      <c r="T8" s="8"/>
      <c r="U8" s="17"/>
      <c r="V8" s="15"/>
    </row>
    <row r="9" spans="1:22" ht="19.5" customHeight="1" thickBot="1">
      <c r="A9" s="8"/>
      <c r="B9" s="54" t="s">
        <v>130</v>
      </c>
      <c r="C9" s="54"/>
      <c r="D9" s="54"/>
      <c r="E9" s="54"/>
      <c r="F9" s="54"/>
      <c r="G9" s="2"/>
      <c r="H9" s="284">
        <f>IF(Dateneingabe!F14="","",Dateneingabe!F14)</f>
        <v>122</v>
      </c>
      <c r="I9" s="285"/>
      <c r="J9" s="285"/>
      <c r="K9" s="286"/>
      <c r="L9" s="132"/>
      <c r="M9" s="61"/>
      <c r="N9" s="61"/>
      <c r="O9" s="61"/>
      <c r="P9" s="61"/>
      <c r="Q9" s="61"/>
      <c r="R9" s="61"/>
      <c r="S9" s="60"/>
      <c r="T9" s="8"/>
      <c r="U9" s="17"/>
      <c r="V9" s="15"/>
    </row>
    <row r="10" spans="1:22" ht="19.5" customHeight="1" thickBot="1">
      <c r="A10" s="8"/>
      <c r="B10" s="2" t="s">
        <v>60</v>
      </c>
      <c r="C10" s="2"/>
      <c r="D10" s="2"/>
      <c r="E10" s="2"/>
      <c r="F10" s="2"/>
      <c r="G10" s="2"/>
      <c r="H10" s="281"/>
      <c r="I10" s="282"/>
      <c r="J10" s="282"/>
      <c r="K10" s="283"/>
      <c r="L10" s="182"/>
      <c r="M10" s="61"/>
      <c r="N10" s="61"/>
      <c r="O10" s="61"/>
      <c r="P10" s="61"/>
      <c r="Q10" s="61"/>
      <c r="R10" s="61"/>
      <c r="S10" s="60"/>
      <c r="T10" s="8"/>
      <c r="U10" s="17"/>
      <c r="V10" s="15"/>
    </row>
    <row r="11" spans="1:22" ht="19.5" customHeight="1" thickBot="1">
      <c r="A11" s="8"/>
      <c r="B11" s="2" t="s">
        <v>4</v>
      </c>
      <c r="C11" s="2"/>
      <c r="D11" s="2"/>
      <c r="E11" s="2"/>
      <c r="F11" s="2"/>
      <c r="G11" s="25">
        <f>IF(Dateneingabe!F16="","",Dateneingabe!F16)</f>
        <v>2014</v>
      </c>
      <c r="H11" s="254"/>
      <c r="I11" s="255"/>
      <c r="J11" s="255"/>
      <c r="K11" s="256"/>
      <c r="L11" s="183"/>
      <c r="M11" s="62"/>
      <c r="N11" s="62"/>
      <c r="O11" s="62"/>
      <c r="P11" s="62"/>
      <c r="Q11" s="62"/>
      <c r="R11" s="62"/>
      <c r="S11" s="63"/>
      <c r="T11" s="8"/>
      <c r="U11" s="17"/>
      <c r="V11" s="15"/>
    </row>
    <row r="12" spans="1:22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5"/>
      <c r="V12" s="15"/>
    </row>
    <row r="13" spans="1:22" ht="19.5" customHeight="1" thickBot="1">
      <c r="A13" s="8"/>
      <c r="B13" s="3" t="s">
        <v>5</v>
      </c>
      <c r="C13" s="3"/>
      <c r="D13" s="3"/>
      <c r="E13" s="3"/>
      <c r="F13" s="3"/>
      <c r="G13" s="19" t="s">
        <v>31</v>
      </c>
      <c r="H13" s="277" t="s">
        <v>28</v>
      </c>
      <c r="I13" s="277"/>
      <c r="J13" s="277"/>
      <c r="K13" s="277"/>
      <c r="L13" s="19"/>
      <c r="M13" s="20"/>
      <c r="N13" s="20"/>
      <c r="O13" s="307" t="s">
        <v>34</v>
      </c>
      <c r="P13" s="307"/>
      <c r="Q13" s="307"/>
      <c r="R13" s="307"/>
      <c r="S13" s="307"/>
      <c r="T13" s="8"/>
      <c r="U13" s="96" t="s">
        <v>99</v>
      </c>
      <c r="V13" s="96"/>
    </row>
    <row r="14" spans="1:22" ht="19.5" customHeight="1" thickBot="1">
      <c r="A14" s="8"/>
      <c r="B14" s="2" t="s">
        <v>19</v>
      </c>
      <c r="C14" s="2"/>
      <c r="D14" s="2"/>
      <c r="E14" s="2"/>
      <c r="F14" s="2"/>
      <c r="G14" s="243">
        <f>IF(H14="","",100/H8)</f>
      </c>
      <c r="H14" s="254"/>
      <c r="I14" s="255"/>
      <c r="J14" s="255"/>
      <c r="K14" s="256"/>
      <c r="L14" s="314" t="s">
        <v>17</v>
      </c>
      <c r="M14" s="315"/>
      <c r="N14" s="316"/>
      <c r="O14" s="263" t="str">
        <f>IF(H14="","Afa fehlt!",H14)</f>
        <v>Afa fehlt!</v>
      </c>
      <c r="P14" s="264"/>
      <c r="Q14" s="264"/>
      <c r="R14" s="264"/>
      <c r="S14" s="265"/>
      <c r="T14" s="8"/>
      <c r="U14" s="97">
        <f>IF(H14="","",H14/$H$9)</f>
      </c>
      <c r="V14" s="96" t="s">
        <v>93</v>
      </c>
    </row>
    <row r="15" spans="1:22" ht="19.5" customHeight="1" thickBot="1">
      <c r="A15" s="8"/>
      <c r="B15" s="54" t="s">
        <v>6</v>
      </c>
      <c r="C15" s="54"/>
      <c r="D15" s="54"/>
      <c r="E15" s="251">
        <f>IF(Dateneingabe!C22&lt;&gt;"",Dateneingabe!C22,"")</f>
        <v>223</v>
      </c>
      <c r="F15" s="251"/>
      <c r="G15" s="244" t="str">
        <f>IF(OR(Dateneingabe!C20="",Dateneingabe!C22&lt;&gt;""),"--- ",Dateneingabe!C20)</f>
        <v>--- </v>
      </c>
      <c r="H15" s="254"/>
      <c r="I15" s="255"/>
      <c r="J15" s="255"/>
      <c r="K15" s="256"/>
      <c r="L15" s="314"/>
      <c r="M15" s="315"/>
      <c r="N15" s="316"/>
      <c r="O15" s="263" t="str">
        <f>IF(H15="","U in € fehlt!",H15)</f>
        <v>U in € fehlt!</v>
      </c>
      <c r="P15" s="264"/>
      <c r="Q15" s="264"/>
      <c r="R15" s="264"/>
      <c r="S15" s="265"/>
      <c r="T15" s="9"/>
      <c r="U15" s="97">
        <f>IF(H15="","",H15/$H$9)</f>
      </c>
      <c r="V15" s="96" t="s">
        <v>94</v>
      </c>
    </row>
    <row r="16" spans="1:22" ht="19.5" customHeight="1" thickBot="1">
      <c r="A16" s="8"/>
      <c r="B16" s="54" t="s">
        <v>7</v>
      </c>
      <c r="C16" s="54"/>
      <c r="D16" s="54"/>
      <c r="E16" s="251">
        <f>IF(Dateneingabe!C29&lt;&gt;"",Dateneingabe!C29,"")</f>
      </c>
      <c r="F16" s="251"/>
      <c r="G16" s="244">
        <f>IF(OR(Dateneingabe!C27="",Dateneingabe!C29&lt;&gt;""),"",Dateneingabe!C27)</f>
        <v>0.01</v>
      </c>
      <c r="H16" s="254"/>
      <c r="I16" s="255"/>
      <c r="J16" s="255"/>
      <c r="K16" s="256"/>
      <c r="L16" s="314"/>
      <c r="M16" s="315"/>
      <c r="N16" s="316"/>
      <c r="O16" s="263" t="str">
        <f>IF(H16="","V in € fehlt!",H16)</f>
        <v>V in € fehlt!</v>
      </c>
      <c r="P16" s="264"/>
      <c r="Q16" s="264"/>
      <c r="R16" s="264"/>
      <c r="S16" s="265"/>
      <c r="T16" s="9"/>
      <c r="U16" s="97">
        <f>IF(H16="","",H16/$H$9)</f>
      </c>
      <c r="V16" s="96" t="s">
        <v>95</v>
      </c>
    </row>
    <row r="17" spans="1:22" ht="19.5" customHeight="1" thickBot="1">
      <c r="A17" s="8"/>
      <c r="B17" s="2" t="s">
        <v>8</v>
      </c>
      <c r="C17" s="2"/>
      <c r="D17" s="2"/>
      <c r="E17" s="2"/>
      <c r="F17" s="2"/>
      <c r="G17" s="245">
        <f>IF(Dateneingabe!F20="","",Dateneingabe!F20)</f>
        <v>0.03</v>
      </c>
      <c r="H17" s="254"/>
      <c r="I17" s="255"/>
      <c r="J17" s="255"/>
      <c r="K17" s="256"/>
      <c r="L17" s="314"/>
      <c r="M17" s="315"/>
      <c r="N17" s="316"/>
      <c r="O17" s="319" t="str">
        <f>IF(H17="","Z in € fehlt!",H17)</f>
        <v>Z in € fehlt!</v>
      </c>
      <c r="P17" s="320"/>
      <c r="Q17" s="320"/>
      <c r="R17" s="320"/>
      <c r="S17" s="321"/>
      <c r="T17" s="9"/>
      <c r="U17" s="97">
        <f>IF(H17="","",H17/$H$9)</f>
      </c>
      <c r="V17" s="96" t="s">
        <v>96</v>
      </c>
    </row>
    <row r="18" spans="1:22" ht="19.5" customHeight="1" thickBot="1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s">
        <v>9</v>
      </c>
      <c r="N18" s="11"/>
      <c r="O18" s="311"/>
      <c r="P18" s="312"/>
      <c r="Q18" s="312"/>
      <c r="R18" s="312"/>
      <c r="S18" s="313"/>
      <c r="T18" s="8"/>
      <c r="U18" s="97">
        <f>IF(O21="","",O21/$H$9)</f>
      </c>
      <c r="V18" s="96" t="s">
        <v>97</v>
      </c>
    </row>
    <row r="19" spans="1:22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94"/>
      <c r="Q19" s="94"/>
      <c r="R19" s="94"/>
      <c r="S19" s="94"/>
      <c r="T19" s="6"/>
      <c r="U19" s="97">
        <f>IF(O22="","",O22/$H$9)</f>
      </c>
      <c r="V19" s="96" t="s">
        <v>98</v>
      </c>
    </row>
    <row r="20" spans="1:22" ht="19.5" customHeight="1" thickBot="1">
      <c r="A20" s="8"/>
      <c r="B20" s="3" t="s">
        <v>10</v>
      </c>
      <c r="C20" s="3"/>
      <c r="D20" s="3"/>
      <c r="E20" s="3"/>
      <c r="F20" s="3"/>
      <c r="G20" s="19" t="s">
        <v>31</v>
      </c>
      <c r="H20" s="296" t="s">
        <v>35</v>
      </c>
      <c r="I20" s="296"/>
      <c r="J20" s="296"/>
      <c r="K20" s="296"/>
      <c r="L20" s="19"/>
      <c r="M20" s="20"/>
      <c r="N20" s="20"/>
      <c r="O20" s="277" t="s">
        <v>34</v>
      </c>
      <c r="P20" s="277"/>
      <c r="Q20" s="277"/>
      <c r="R20" s="277"/>
      <c r="S20" s="277"/>
      <c r="T20" s="8"/>
      <c r="U20" s="17"/>
      <c r="V20" s="15"/>
    </row>
    <row r="21" spans="1:22" ht="19.5" customHeight="1" thickBot="1">
      <c r="A21" s="8"/>
      <c r="B21" s="2" t="s">
        <v>11</v>
      </c>
      <c r="C21" s="2"/>
      <c r="D21" s="2"/>
      <c r="E21" s="2"/>
      <c r="F21" s="2"/>
      <c r="G21" s="2"/>
      <c r="H21" s="271">
        <f>IF(Dateneingabe!F22="","",Dateneingabe!F22)</f>
        <v>7.33</v>
      </c>
      <c r="I21" s="272"/>
      <c r="J21" s="272"/>
      <c r="K21" s="273"/>
      <c r="L21" s="317" t="s">
        <v>18</v>
      </c>
      <c r="M21" s="317"/>
      <c r="N21" s="318"/>
      <c r="O21" s="278"/>
      <c r="P21" s="279"/>
      <c r="Q21" s="279"/>
      <c r="R21" s="279"/>
      <c r="S21" s="280"/>
      <c r="T21" s="8"/>
      <c r="U21" s="17"/>
      <c r="V21" s="15"/>
    </row>
    <row r="22" spans="1:22" ht="19.5" customHeight="1" thickBot="1">
      <c r="A22" s="8"/>
      <c r="B22" s="252">
        <v>100</v>
      </c>
      <c r="C22" s="252"/>
      <c r="D22" s="252"/>
      <c r="E22" s="252"/>
      <c r="F22" s="253"/>
      <c r="G22" s="21">
        <f>IF(Dateneingabe!F25="","",Dateneingabe!F25)</f>
        <v>0.008</v>
      </c>
      <c r="H22" s="268"/>
      <c r="I22" s="269"/>
      <c r="J22" s="269"/>
      <c r="K22" s="270"/>
      <c r="L22" s="317"/>
      <c r="M22" s="317"/>
      <c r="N22" s="318"/>
      <c r="O22" s="278"/>
      <c r="P22" s="279"/>
      <c r="Q22" s="279"/>
      <c r="R22" s="279"/>
      <c r="S22" s="280"/>
      <c r="T22" s="8"/>
      <c r="U22" s="17"/>
      <c r="V22" s="15"/>
    </row>
    <row r="23" spans="1:22" ht="19.5" customHeight="1" thickBo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 t="s">
        <v>12</v>
      </c>
      <c r="N23" s="11"/>
      <c r="O23" s="311"/>
      <c r="P23" s="312"/>
      <c r="Q23" s="312"/>
      <c r="R23" s="312"/>
      <c r="S23" s="313"/>
      <c r="T23" s="8"/>
      <c r="U23" s="17"/>
      <c r="V23" s="15"/>
    </row>
    <row r="24" spans="1:22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4"/>
      <c r="P24" s="94"/>
      <c r="Q24" s="94"/>
      <c r="R24" s="94"/>
      <c r="S24" s="94"/>
      <c r="T24" s="6"/>
      <c r="U24" s="15"/>
      <c r="V24" s="15"/>
    </row>
    <row r="25" spans="1:22" ht="19.5" customHeight="1" thickBot="1">
      <c r="A25" s="8"/>
      <c r="B25" s="3" t="s">
        <v>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77" t="s">
        <v>36</v>
      </c>
      <c r="P25" s="277"/>
      <c r="Q25" s="277"/>
      <c r="R25" s="277"/>
      <c r="S25" s="277"/>
      <c r="T25" s="8"/>
      <c r="U25" s="17"/>
      <c r="V25" s="15"/>
    </row>
    <row r="26" spans="1:22" ht="19.5" customHeight="1" thickBot="1">
      <c r="A26" s="8"/>
      <c r="B26" s="13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74"/>
      <c r="P26" s="275"/>
      <c r="Q26" s="275"/>
      <c r="R26" s="275"/>
      <c r="S26" s="276"/>
      <c r="T26" s="8"/>
      <c r="U26" s="17"/>
      <c r="V26" s="15"/>
    </row>
    <row r="27" spans="1:22" ht="19.5" customHeight="1" thickBot="1">
      <c r="A27" s="8"/>
      <c r="B27" s="13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74"/>
      <c r="P27" s="275"/>
      <c r="Q27" s="275"/>
      <c r="R27" s="275"/>
      <c r="S27" s="276"/>
      <c r="T27" s="8"/>
      <c r="U27" s="17"/>
      <c r="V27" s="15"/>
    </row>
    <row r="28" spans="1:22" ht="19.5" customHeight="1" thickBot="1">
      <c r="A28" s="8"/>
      <c r="B28" s="14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08"/>
      <c r="P28" s="309"/>
      <c r="Q28" s="309"/>
      <c r="R28" s="309"/>
      <c r="S28" s="310"/>
      <c r="T28" s="8"/>
      <c r="U28" s="15"/>
      <c r="V28" s="15"/>
    </row>
    <row r="29" spans="1:22" ht="1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5"/>
      <c r="V29" s="125"/>
    </row>
    <row r="30" spans="1:22" ht="30" customHeight="1">
      <c r="A30" s="173" t="str">
        <f>IF(Dateneingabe!D8="","","Mindesteinsatzstunden: "&amp;IF(Dateneingabe!D8="","",CONCATENATE(Dateneingabe!C6," - ",Dateneingabe!C10)))</f>
        <v>Mindesteinsatzstunden: Allradtraktor - 45 KW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63" t="str">
        <f>IF(Dateneingabe!D8="","",Dateneingabe!D8)</f>
        <v>x</v>
      </c>
      <c r="V30" s="15"/>
    </row>
    <row r="31" spans="1:22" ht="49.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5"/>
      <c r="V31" s="125"/>
    </row>
    <row r="32" spans="1:22" ht="19.5" customHeight="1">
      <c r="A32" s="8"/>
      <c r="B32" s="3" t="str">
        <f>IF(Dateneingabe!D8="","","Ausgangsdaten")</f>
        <v>Ausgangsdaten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"/>
      <c r="U32" s="17"/>
      <c r="V32" s="15"/>
    </row>
    <row r="33" spans="1:22" ht="19.5" customHeight="1">
      <c r="A33" s="126"/>
      <c r="B33" s="2" t="str">
        <f>IF(Dateneingabe!D8="","",Dateneingabe!B33)</f>
        <v>Maschinenrungtarif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93">
        <f>IF(Dateneingabe!D8="","",IF(Dateneingabe!C33="","",Dateneingabe!C33))</f>
        <v>42.15</v>
      </c>
      <c r="P33" s="294"/>
      <c r="Q33" s="294"/>
      <c r="R33" s="294"/>
      <c r="S33" s="295"/>
      <c r="T33" s="126"/>
      <c r="U33" s="125"/>
      <c r="V33" s="125"/>
    </row>
    <row r="34" spans="1:22" ht="19.5" customHeight="1">
      <c r="A34" s="126"/>
      <c r="B34" s="2" t="str">
        <f>IF(Dateneingabe!D8="","",Dateneingabe!B35)</f>
        <v>Lohnansatz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90">
        <f>IF(Dateneingabe!D8="","",IF(Dateneingabe!C35="","",Dateneingabe!C35))</f>
        <v>11</v>
      </c>
      <c r="P34" s="291"/>
      <c r="Q34" s="291"/>
      <c r="R34" s="291"/>
      <c r="S34" s="292"/>
      <c r="T34" s="126"/>
      <c r="U34" s="125"/>
      <c r="V34" s="125"/>
    </row>
    <row r="35" spans="1:22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5"/>
      <c r="V35" s="15"/>
    </row>
    <row r="36" spans="1:22" ht="19.5" customHeight="1">
      <c r="A36" s="126"/>
      <c r="B36" s="147" t="str">
        <f>IF(Dateneingabe!D8="","","Ohne Berücksichtigung der Arbeitskosten")</f>
        <v>Ohne Berücksichtigung der Arbeitskosten</v>
      </c>
      <c r="C36" s="147"/>
      <c r="D36" s="14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26"/>
      <c r="U36" s="125"/>
      <c r="V36" s="125"/>
    </row>
    <row r="37" spans="1:22" ht="15">
      <c r="A37" s="126"/>
      <c r="B37" s="148" t="str">
        <f>IF(Dateneingabe!D8="","","Formel")</f>
        <v>Formel</v>
      </c>
      <c r="C37" s="148"/>
      <c r="D37" s="148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5"/>
      <c r="V37" s="125"/>
    </row>
    <row r="38" spans="1:22" ht="3.75" customHeight="1">
      <c r="A38" s="126"/>
      <c r="B38" s="135"/>
      <c r="C38" s="165"/>
      <c r="D38" s="165"/>
      <c r="E38" s="143"/>
      <c r="F38" s="143"/>
      <c r="G38" s="143"/>
      <c r="H38" s="143"/>
      <c r="I38" s="143"/>
      <c r="J38" s="143"/>
      <c r="K38" s="143"/>
      <c r="L38" s="143"/>
      <c r="M38" s="143"/>
      <c r="N38" s="136"/>
      <c r="O38" s="126"/>
      <c r="P38" s="126"/>
      <c r="Q38" s="126"/>
      <c r="R38" s="126"/>
      <c r="S38" s="126"/>
      <c r="T38" s="126"/>
      <c r="U38" s="125"/>
      <c r="V38" s="125"/>
    </row>
    <row r="39" spans="1:22" ht="19.5" customHeight="1">
      <c r="A39" s="126"/>
      <c r="B39" s="161"/>
      <c r="C39" s="257" t="str">
        <f>IF(Dateneingabe!D8="","","Mindesteinsatzstunden = ")</f>
        <v>Mindesteinsatzstunden = </v>
      </c>
      <c r="D39" s="257"/>
      <c r="E39" s="257"/>
      <c r="F39" s="150"/>
      <c r="G39" s="306"/>
      <c r="H39" s="306"/>
      <c r="I39" s="306"/>
      <c r="J39" s="306"/>
      <c r="K39" s="306"/>
      <c r="L39" s="306"/>
      <c r="M39" s="150"/>
      <c r="N39" s="137"/>
      <c r="O39" s="126"/>
      <c r="P39" s="126"/>
      <c r="Q39" s="126"/>
      <c r="R39" s="126"/>
      <c r="S39" s="126"/>
      <c r="T39" s="126"/>
      <c r="U39" s="125"/>
      <c r="V39" s="125"/>
    </row>
    <row r="40" spans="1:22" ht="3" customHeight="1">
      <c r="A40" s="126"/>
      <c r="B40" s="161"/>
      <c r="C40" s="257"/>
      <c r="D40" s="257"/>
      <c r="E40" s="257"/>
      <c r="F40" s="149"/>
      <c r="G40" s="149"/>
      <c r="H40" s="149"/>
      <c r="I40" s="149"/>
      <c r="J40" s="149"/>
      <c r="K40" s="149"/>
      <c r="L40" s="149"/>
      <c r="M40" s="149"/>
      <c r="N40" s="137"/>
      <c r="O40" s="126"/>
      <c r="P40" s="126"/>
      <c r="Q40" s="126"/>
      <c r="R40" s="126"/>
      <c r="S40" s="126"/>
      <c r="T40" s="126"/>
      <c r="U40" s="125"/>
      <c r="V40" s="125"/>
    </row>
    <row r="41" spans="1:22" ht="3" customHeight="1">
      <c r="A41" s="126"/>
      <c r="B41" s="161"/>
      <c r="C41" s="257"/>
      <c r="D41" s="257"/>
      <c r="E41" s="257"/>
      <c r="F41" s="138"/>
      <c r="G41" s="138"/>
      <c r="H41" s="138"/>
      <c r="I41" s="138"/>
      <c r="J41" s="138"/>
      <c r="K41" s="138"/>
      <c r="L41" s="138"/>
      <c r="M41" s="138"/>
      <c r="N41" s="137"/>
      <c r="O41" s="126"/>
      <c r="P41" s="126"/>
      <c r="Q41" s="126"/>
      <c r="R41" s="126"/>
      <c r="S41" s="126"/>
      <c r="T41" s="126"/>
      <c r="U41" s="125"/>
      <c r="V41" s="125"/>
    </row>
    <row r="42" spans="1:22" ht="19.5" customHeight="1">
      <c r="A42" s="126"/>
      <c r="B42" s="161"/>
      <c r="C42" s="257"/>
      <c r="D42" s="257"/>
      <c r="E42" s="257"/>
      <c r="F42" s="306"/>
      <c r="G42" s="306"/>
      <c r="H42" s="139"/>
      <c r="I42" s="181"/>
      <c r="J42" s="139"/>
      <c r="K42" s="306"/>
      <c r="L42" s="306"/>
      <c r="M42" s="306"/>
      <c r="N42" s="137"/>
      <c r="O42" s="126"/>
      <c r="P42" s="126"/>
      <c r="Q42" s="126"/>
      <c r="R42" s="126"/>
      <c r="S42" s="126"/>
      <c r="T42" s="126"/>
      <c r="U42" s="125"/>
      <c r="V42" s="125"/>
    </row>
    <row r="43" spans="1:22" ht="3.75" customHeight="1">
      <c r="A43" s="126"/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26"/>
      <c r="P43" s="126"/>
      <c r="Q43" s="126"/>
      <c r="R43" s="126"/>
      <c r="S43" s="126"/>
      <c r="T43" s="126"/>
      <c r="U43" s="125"/>
      <c r="V43" s="125"/>
    </row>
    <row r="44" spans="1:22" ht="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5"/>
      <c r="V44" s="125"/>
    </row>
    <row r="45" spans="1:22" ht="15.75" thickBot="1">
      <c r="A45" s="126"/>
      <c r="B45" s="148" t="str">
        <f>IF(Dateneingabe!D8="","","Rechenansatz")</f>
        <v>Rechenansatz</v>
      </c>
      <c r="C45" s="148"/>
      <c r="D45" s="148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5"/>
      <c r="V45" s="125"/>
    </row>
    <row r="46" spans="1:22" ht="19.5" customHeight="1" thickBot="1">
      <c r="A46" s="126"/>
      <c r="B46" s="126"/>
      <c r="C46" s="258" t="str">
        <f>IF(Dateneingabe!D8="","","Mindesteinsatzstunden = ")</f>
        <v>Mindesteinsatzstunden = </v>
      </c>
      <c r="D46" s="258"/>
      <c r="E46" s="258"/>
      <c r="G46" s="260"/>
      <c r="H46" s="261"/>
      <c r="I46" s="261"/>
      <c r="J46" s="261"/>
      <c r="K46" s="261"/>
      <c r="L46" s="262"/>
      <c r="M46" s="126"/>
      <c r="N46" s="126"/>
      <c r="O46" s="126"/>
      <c r="P46" s="126"/>
      <c r="Q46" s="126"/>
      <c r="R46" s="126"/>
      <c r="S46" s="127"/>
      <c r="T46" s="126"/>
      <c r="U46" s="125"/>
      <c r="V46" s="125"/>
    </row>
    <row r="47" spans="1:22" ht="3" customHeight="1">
      <c r="A47" s="126"/>
      <c r="B47" s="160"/>
      <c r="C47" s="258"/>
      <c r="D47" s="258"/>
      <c r="E47" s="258"/>
      <c r="F47" s="151"/>
      <c r="G47" s="151"/>
      <c r="H47" s="151"/>
      <c r="I47" s="151"/>
      <c r="J47" s="151"/>
      <c r="K47" s="151"/>
      <c r="L47" s="151"/>
      <c r="M47" s="151"/>
      <c r="N47" s="4"/>
      <c r="O47" s="4"/>
      <c r="P47" s="4"/>
      <c r="Q47" s="126"/>
      <c r="R47" s="126"/>
      <c r="S47" s="127"/>
      <c r="T47" s="126"/>
      <c r="U47" s="125"/>
      <c r="V47" s="125"/>
    </row>
    <row r="48" spans="1:22" ht="3" customHeight="1" thickBot="1">
      <c r="A48" s="126"/>
      <c r="B48" s="160"/>
      <c r="C48" s="258"/>
      <c r="D48" s="258"/>
      <c r="E48" s="258"/>
      <c r="Q48" s="126"/>
      <c r="R48" s="126"/>
      <c r="S48" s="127"/>
      <c r="T48" s="126"/>
      <c r="U48" s="125"/>
      <c r="V48" s="125"/>
    </row>
    <row r="49" spans="1:22" ht="19.5" customHeight="1" thickBot="1">
      <c r="A49" s="126"/>
      <c r="B49" s="160"/>
      <c r="C49" s="258"/>
      <c r="D49" s="258"/>
      <c r="E49" s="258"/>
      <c r="F49" s="260"/>
      <c r="G49" s="262"/>
      <c r="H49" s="126"/>
      <c r="I49" s="152">
        <f>IF(I42="","",I42)</f>
      </c>
      <c r="K49" s="260"/>
      <c r="L49" s="261"/>
      <c r="M49" s="262"/>
      <c r="N49" s="126"/>
      <c r="O49" s="126"/>
      <c r="P49" s="126"/>
      <c r="Q49" s="126"/>
      <c r="R49" s="126"/>
      <c r="S49" s="127"/>
      <c r="T49" s="126"/>
      <c r="U49" s="125"/>
      <c r="V49" s="125"/>
    </row>
    <row r="50" spans="1:22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5"/>
      <c r="V50" s="125"/>
    </row>
    <row r="51" spans="1:22" ht="15.75" thickBot="1">
      <c r="A51" s="126"/>
      <c r="B51" s="148" t="str">
        <f>IF(Dateneingabe!D8="","","Ergebnis")</f>
        <v>Ergebnis</v>
      </c>
      <c r="C51" s="148"/>
      <c r="D51" s="148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5"/>
      <c r="V51" s="125"/>
    </row>
    <row r="52" spans="1:22" ht="19.5" customHeight="1" thickBot="1">
      <c r="A52" s="126"/>
      <c r="B52" s="126"/>
      <c r="C52" s="258" t="str">
        <f>IF(Dateneingabe!D8="","","Mindesteinsatzstunden = ")</f>
        <v>Mindesteinsatzstunden = </v>
      </c>
      <c r="D52" s="258"/>
      <c r="E52" s="259"/>
      <c r="F52" s="266"/>
      <c r="G52" s="267"/>
      <c r="I52" s="180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5"/>
      <c r="V52" s="125"/>
    </row>
    <row r="53" spans="1:22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5"/>
      <c r="V53" s="15"/>
    </row>
    <row r="54" spans="1:22" ht="19.5" customHeight="1">
      <c r="A54" s="126"/>
      <c r="B54" s="147" t="str">
        <f>IF(Dateneingabe!D8="","","Unter Berücksichtigung der  Arbeitskosten")</f>
        <v>Unter Berücksichtigung der  Arbeitskosten</v>
      </c>
      <c r="C54" s="147"/>
      <c r="D54" s="14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26"/>
      <c r="U54" s="125"/>
      <c r="V54" s="125"/>
    </row>
    <row r="55" spans="1:22" ht="15">
      <c r="A55" s="126"/>
      <c r="B55" s="148" t="str">
        <f>IF(Dateneingabe!D8="","","Formel")</f>
        <v>Formel</v>
      </c>
      <c r="C55" s="148"/>
      <c r="D55" s="148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5"/>
      <c r="V55" s="125"/>
    </row>
    <row r="56" spans="1:22" ht="3.75" customHeight="1">
      <c r="A56" s="126"/>
      <c r="B56" s="135"/>
      <c r="C56" s="165"/>
      <c r="D56" s="165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36"/>
      <c r="T56" s="126"/>
      <c r="U56" s="125"/>
      <c r="V56" s="125"/>
    </row>
    <row r="57" spans="1:22" ht="19.5" customHeight="1">
      <c r="A57" s="126"/>
      <c r="B57" s="161"/>
      <c r="C57" s="257" t="str">
        <f>IF(Dateneingabe!D8="","","Mindesteinsatzstunden = ")</f>
        <v>Mindesteinsatzstunden = </v>
      </c>
      <c r="D57" s="257"/>
      <c r="E57" s="257"/>
      <c r="F57" s="155"/>
      <c r="G57" s="155"/>
      <c r="H57" s="155"/>
      <c r="I57" s="306"/>
      <c r="J57" s="306"/>
      <c r="K57" s="306"/>
      <c r="L57" s="306"/>
      <c r="M57" s="306"/>
      <c r="N57" s="306"/>
      <c r="O57" s="306"/>
      <c r="P57" s="139"/>
      <c r="Q57" s="139"/>
      <c r="R57" s="139"/>
      <c r="S57" s="137"/>
      <c r="T57" s="126"/>
      <c r="U57" s="125"/>
      <c r="V57" s="125"/>
    </row>
    <row r="58" spans="1:22" ht="3" customHeight="1">
      <c r="A58" s="126"/>
      <c r="B58" s="161"/>
      <c r="C58" s="257"/>
      <c r="D58" s="257"/>
      <c r="E58" s="257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37"/>
      <c r="T58" s="126"/>
      <c r="U58" s="125"/>
      <c r="V58" s="125"/>
    </row>
    <row r="59" spans="1:22" ht="3" customHeight="1">
      <c r="A59" s="126"/>
      <c r="B59" s="161"/>
      <c r="C59" s="257"/>
      <c r="D59" s="257"/>
      <c r="E59" s="257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139"/>
      <c r="Q59" s="139"/>
      <c r="R59" s="139"/>
      <c r="S59" s="137"/>
      <c r="T59" s="126"/>
      <c r="U59" s="125"/>
      <c r="V59" s="125"/>
    </row>
    <row r="60" spans="1:22" ht="19.5" customHeight="1">
      <c r="A60" s="126"/>
      <c r="B60" s="161"/>
      <c r="C60" s="257"/>
      <c r="D60" s="257"/>
      <c r="E60" s="257"/>
      <c r="F60" s="306"/>
      <c r="G60" s="306"/>
      <c r="H60" s="139"/>
      <c r="I60" s="181"/>
      <c r="J60" s="153" t="s">
        <v>128</v>
      </c>
      <c r="K60" s="306"/>
      <c r="L60" s="306"/>
      <c r="M60" s="306"/>
      <c r="N60" s="139"/>
      <c r="O60" s="181"/>
      <c r="P60" s="139"/>
      <c r="Q60" s="306"/>
      <c r="R60" s="306"/>
      <c r="S60" s="167" t="s">
        <v>129</v>
      </c>
      <c r="T60" s="126"/>
      <c r="U60" s="125"/>
      <c r="V60" s="125"/>
    </row>
    <row r="61" spans="1:22" ht="3.75" customHeight="1">
      <c r="A61" s="126"/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26"/>
      <c r="U61" s="125"/>
      <c r="V61" s="125"/>
    </row>
    <row r="62" spans="1:22" ht="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5"/>
      <c r="V62" s="125"/>
    </row>
    <row r="63" spans="1:22" ht="15.75" thickBot="1">
      <c r="A63" s="126"/>
      <c r="B63" s="148" t="str">
        <f>IF(Dateneingabe!D8="","","Rechenansatz")</f>
        <v>Rechenansatz</v>
      </c>
      <c r="C63" s="148"/>
      <c r="D63" s="148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5"/>
      <c r="V63" s="125"/>
    </row>
    <row r="64" spans="1:22" ht="19.5" customHeight="1" thickBot="1">
      <c r="A64" s="126"/>
      <c r="B64" s="126"/>
      <c r="C64" s="258" t="str">
        <f>IF(Dateneingabe!D8="","","Mindesteinsatzstunden = ")</f>
        <v>Mindesteinsatzstunden = </v>
      </c>
      <c r="D64" s="258"/>
      <c r="E64" s="258"/>
      <c r="G64" s="126"/>
      <c r="H64" s="126"/>
      <c r="I64" s="260"/>
      <c r="J64" s="261"/>
      <c r="K64" s="261"/>
      <c r="L64" s="261"/>
      <c r="M64" s="261"/>
      <c r="N64" s="261"/>
      <c r="O64" s="262"/>
      <c r="P64" s="126"/>
      <c r="Q64" s="126"/>
      <c r="R64" s="126"/>
      <c r="S64" s="127"/>
      <c r="T64" s="126"/>
      <c r="U64" s="125"/>
      <c r="V64" s="125"/>
    </row>
    <row r="65" spans="1:22" ht="3" customHeight="1">
      <c r="A65" s="126"/>
      <c r="B65" s="160"/>
      <c r="C65" s="258"/>
      <c r="D65" s="258"/>
      <c r="E65" s="258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27"/>
      <c r="T65" s="126"/>
      <c r="U65" s="125"/>
      <c r="V65" s="125"/>
    </row>
    <row r="66" spans="1:22" ht="3" customHeight="1" thickBot="1">
      <c r="A66" s="126"/>
      <c r="B66" s="160"/>
      <c r="C66" s="258"/>
      <c r="D66" s="258"/>
      <c r="E66" s="258"/>
      <c r="Q66" s="126"/>
      <c r="R66" s="126"/>
      <c r="S66" s="127"/>
      <c r="T66" s="126"/>
      <c r="U66" s="125"/>
      <c r="V66" s="125"/>
    </row>
    <row r="67" spans="1:22" ht="19.5" customHeight="1" thickBot="1">
      <c r="A67" s="126"/>
      <c r="B67" s="160"/>
      <c r="C67" s="258"/>
      <c r="D67" s="258"/>
      <c r="E67" s="258"/>
      <c r="F67" s="260"/>
      <c r="G67" s="262"/>
      <c r="H67" s="126"/>
      <c r="I67" s="152">
        <f>IF(I60="","",I60)</f>
      </c>
      <c r="J67" s="164" t="s">
        <v>128</v>
      </c>
      <c r="K67" s="260"/>
      <c r="L67" s="261"/>
      <c r="M67" s="262"/>
      <c r="N67" s="126"/>
      <c r="O67" s="154">
        <f>IF(O60="","",O60)</f>
      </c>
      <c r="P67" s="126"/>
      <c r="Q67" s="260"/>
      <c r="R67" s="262"/>
      <c r="S67" s="166" t="s">
        <v>129</v>
      </c>
      <c r="T67" s="126"/>
      <c r="U67" s="125"/>
      <c r="V67" s="125"/>
    </row>
    <row r="68" spans="1:22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5"/>
      <c r="V68" s="125"/>
    </row>
    <row r="69" spans="1:22" ht="15.75" thickBot="1">
      <c r="A69" s="126"/>
      <c r="B69" s="148" t="str">
        <f>IF(Dateneingabe!D8="","","Ergebnis")</f>
        <v>Ergebnis</v>
      </c>
      <c r="C69" s="148"/>
      <c r="D69" s="148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5"/>
      <c r="V69" s="125"/>
    </row>
    <row r="70" spans="1:22" ht="19.5" customHeight="1" thickBot="1">
      <c r="A70" s="126"/>
      <c r="B70" s="126"/>
      <c r="C70" s="258" t="str">
        <f>IF(Dateneingabe!D8="","","Mindesteinsatzstunden = ")</f>
        <v>Mindesteinsatzstunden = </v>
      </c>
      <c r="D70" s="258"/>
      <c r="E70" s="259"/>
      <c r="F70" s="266"/>
      <c r="G70" s="267"/>
      <c r="I70" s="180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5"/>
      <c r="V70" s="125"/>
    </row>
    <row r="71" spans="1:22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5"/>
      <c r="V71" s="125"/>
    </row>
    <row r="72" spans="1:22" ht="1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</row>
    <row r="73" spans="11:16" ht="15" hidden="1">
      <c r="K73" s="126"/>
      <c r="L73" s="126"/>
      <c r="M73" s="126"/>
      <c r="N73" s="126"/>
      <c r="O73" s="126"/>
      <c r="P73" s="126"/>
    </row>
    <row r="74" spans="11:16" ht="15.75" hidden="1" thickBot="1">
      <c r="K74" s="144" t="s">
        <v>116</v>
      </c>
      <c r="L74" s="126"/>
      <c r="M74" s="144" t="s">
        <v>102</v>
      </c>
      <c r="N74" s="145"/>
      <c r="O74" s="145"/>
      <c r="P74" s="145"/>
    </row>
    <row r="75" spans="11:16" ht="15" hidden="1">
      <c r="K75" s="134" t="s">
        <v>117</v>
      </c>
      <c r="L75" s="126"/>
      <c r="M75" s="126" t="s">
        <v>109</v>
      </c>
      <c r="N75" s="126"/>
      <c r="O75" s="126"/>
      <c r="P75" s="126"/>
    </row>
    <row r="76" spans="11:16" ht="15" hidden="1">
      <c r="K76" s="146" t="s">
        <v>120</v>
      </c>
      <c r="L76" s="126"/>
      <c r="M76" s="126" t="s">
        <v>67</v>
      </c>
      <c r="N76" s="126"/>
      <c r="O76" s="126"/>
      <c r="P76" s="126"/>
    </row>
    <row r="77" spans="11:16" ht="15" hidden="1">
      <c r="K77" s="134" t="s">
        <v>118</v>
      </c>
      <c r="L77" s="126"/>
      <c r="M77" s="126" t="s">
        <v>2</v>
      </c>
      <c r="N77" s="126"/>
      <c r="O77" s="126"/>
      <c r="P77" s="126"/>
    </row>
    <row r="78" spans="11:16" ht="15" hidden="1">
      <c r="K78" s="134" t="s">
        <v>119</v>
      </c>
      <c r="L78" s="126"/>
      <c r="M78" s="126" t="s">
        <v>1</v>
      </c>
      <c r="N78" s="126"/>
      <c r="O78" s="126"/>
      <c r="P78" s="126"/>
    </row>
    <row r="79" spans="12:16" ht="15" hidden="1">
      <c r="L79" s="126"/>
      <c r="M79" s="126" t="s">
        <v>111</v>
      </c>
      <c r="N79" s="126"/>
      <c r="O79" s="126"/>
      <c r="P79" s="126"/>
    </row>
    <row r="80" spans="12:16" ht="15" hidden="1">
      <c r="L80" s="126"/>
      <c r="M80" s="126" t="s">
        <v>113</v>
      </c>
      <c r="N80" s="126"/>
      <c r="O80" s="126"/>
      <c r="P80" s="126"/>
    </row>
    <row r="81" spans="12:16" ht="15" hidden="1">
      <c r="L81" s="126"/>
      <c r="M81" s="126" t="s">
        <v>114</v>
      </c>
      <c r="N81" s="126"/>
      <c r="O81" s="126"/>
      <c r="P81" s="126"/>
    </row>
    <row r="82" spans="12:16" ht="15" hidden="1">
      <c r="L82" s="126"/>
      <c r="M82" s="126" t="s">
        <v>103</v>
      </c>
      <c r="N82" s="126"/>
      <c r="O82" s="126"/>
      <c r="P82" s="126"/>
    </row>
    <row r="83" spans="12:16" ht="15" hidden="1">
      <c r="L83" s="126"/>
      <c r="M83" s="126" t="s">
        <v>105</v>
      </c>
      <c r="N83" s="126"/>
      <c r="O83" s="126"/>
      <c r="P83" s="126"/>
    </row>
    <row r="84" spans="12:16" ht="15" hidden="1">
      <c r="L84" s="126"/>
      <c r="M84" s="126" t="s">
        <v>127</v>
      </c>
      <c r="N84" s="126"/>
      <c r="O84" s="126"/>
      <c r="P84" s="126"/>
    </row>
    <row r="85" spans="12:16" ht="15" hidden="1">
      <c r="L85" s="126"/>
      <c r="M85" s="126" t="s">
        <v>131</v>
      </c>
      <c r="N85" s="126"/>
      <c r="O85" s="126"/>
      <c r="P85" s="126"/>
    </row>
    <row r="86" spans="12:16" ht="15" hidden="1">
      <c r="L86" s="126"/>
      <c r="M86" s="126" t="s">
        <v>104</v>
      </c>
      <c r="N86" s="126"/>
      <c r="O86" s="126"/>
      <c r="P86" s="126"/>
    </row>
    <row r="87" spans="12:16" ht="15" hidden="1">
      <c r="L87" s="126"/>
      <c r="M87" s="126" t="s">
        <v>108</v>
      </c>
      <c r="N87" s="126"/>
      <c r="O87" s="126"/>
      <c r="P87" s="126"/>
    </row>
    <row r="88" spans="12:16" ht="15" hidden="1">
      <c r="L88" s="126"/>
      <c r="M88" s="126" t="s">
        <v>3</v>
      </c>
      <c r="N88" s="126"/>
      <c r="O88" s="126"/>
      <c r="P88" s="126"/>
    </row>
    <row r="89" spans="12:16" ht="15" hidden="1">
      <c r="L89" s="126"/>
      <c r="M89" s="126" t="s">
        <v>112</v>
      </c>
      <c r="N89" s="126"/>
      <c r="O89" s="126"/>
      <c r="P89" s="126"/>
    </row>
    <row r="90" spans="12:16" ht="15" hidden="1">
      <c r="L90" s="126"/>
      <c r="M90" s="126" t="s">
        <v>75</v>
      </c>
      <c r="N90" s="126"/>
      <c r="O90" s="126"/>
      <c r="P90" s="126"/>
    </row>
    <row r="91" spans="12:16" ht="15" hidden="1">
      <c r="L91" s="126"/>
      <c r="M91" s="126" t="s">
        <v>115</v>
      </c>
      <c r="N91" s="126"/>
      <c r="O91" s="126"/>
      <c r="P91" s="126"/>
    </row>
    <row r="92" spans="12:16" ht="15" hidden="1">
      <c r="L92" s="126"/>
      <c r="M92" s="126" t="s">
        <v>121</v>
      </c>
      <c r="N92" s="126"/>
      <c r="O92" s="126"/>
      <c r="P92" s="126"/>
    </row>
    <row r="93" spans="12:16" ht="15" hidden="1">
      <c r="L93" s="126"/>
      <c r="M93" s="126" t="s">
        <v>122</v>
      </c>
      <c r="N93" s="126"/>
      <c r="O93" s="126"/>
      <c r="P93" s="126"/>
    </row>
    <row r="94" spans="12:16" ht="15" hidden="1">
      <c r="L94" s="126"/>
      <c r="M94" s="126" t="s">
        <v>123</v>
      </c>
      <c r="N94" s="126"/>
      <c r="O94" s="126"/>
      <c r="P94" s="126"/>
    </row>
    <row r="95" spans="12:16" ht="15" hidden="1">
      <c r="L95" s="126"/>
      <c r="M95" s="126" t="s">
        <v>124</v>
      </c>
      <c r="N95" s="126"/>
      <c r="O95" s="126"/>
      <c r="P95" s="126"/>
    </row>
    <row r="96" spans="12:16" ht="15" hidden="1">
      <c r="L96" s="126"/>
      <c r="M96" s="126" t="s">
        <v>125</v>
      </c>
      <c r="N96" s="126"/>
      <c r="O96" s="126"/>
      <c r="P96" s="126"/>
    </row>
    <row r="97" spans="12:16" ht="15" hidden="1">
      <c r="L97" s="126"/>
      <c r="M97" s="126" t="s">
        <v>126</v>
      </c>
      <c r="N97" s="126"/>
      <c r="O97" s="126"/>
      <c r="P97" s="126"/>
    </row>
    <row r="98" spans="12:16" ht="15" hidden="1">
      <c r="L98" s="126"/>
      <c r="M98" s="126" t="s">
        <v>106</v>
      </c>
      <c r="N98" s="126"/>
      <c r="O98" s="126"/>
      <c r="P98" s="126"/>
    </row>
    <row r="99" spans="12:16" ht="15" hidden="1">
      <c r="L99" s="126"/>
      <c r="M99" s="126" t="s">
        <v>107</v>
      </c>
      <c r="N99" s="126"/>
      <c r="O99" s="126"/>
      <c r="P99" s="126"/>
    </row>
    <row r="100" spans="12:16" ht="15" hidden="1">
      <c r="L100" s="126"/>
      <c r="M100" s="126" t="s">
        <v>110</v>
      </c>
      <c r="N100" s="126"/>
      <c r="O100" s="126"/>
      <c r="P100" s="126"/>
    </row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</sheetData>
  <sheetProtection sheet="1" objects="1" scenarios="1"/>
  <mergeCells count="58">
    <mergeCell ref="H14:K14"/>
    <mergeCell ref="E16:F16"/>
    <mergeCell ref="F67:G67"/>
    <mergeCell ref="K67:M67"/>
    <mergeCell ref="I64:O64"/>
    <mergeCell ref="F60:G60"/>
    <mergeCell ref="K60:M60"/>
    <mergeCell ref="I57:O57"/>
    <mergeCell ref="F49:G49"/>
    <mergeCell ref="K49:M49"/>
    <mergeCell ref="O15:S15"/>
    <mergeCell ref="K42:M42"/>
    <mergeCell ref="O23:S23"/>
    <mergeCell ref="O22:S22"/>
    <mergeCell ref="F42:G42"/>
    <mergeCell ref="G39:L39"/>
    <mergeCell ref="L14:N17"/>
    <mergeCell ref="L21:N22"/>
    <mergeCell ref="O18:S18"/>
    <mergeCell ref="O17:S17"/>
    <mergeCell ref="H7:K7"/>
    <mergeCell ref="H6:K6"/>
    <mergeCell ref="H3:K3"/>
    <mergeCell ref="Q60:R60"/>
    <mergeCell ref="Q67:R67"/>
    <mergeCell ref="O14:S14"/>
    <mergeCell ref="O13:S13"/>
    <mergeCell ref="O28:S28"/>
    <mergeCell ref="O27:S27"/>
    <mergeCell ref="O20:S20"/>
    <mergeCell ref="H11:K11"/>
    <mergeCell ref="H10:K10"/>
    <mergeCell ref="H13:K13"/>
    <mergeCell ref="H9:K9"/>
    <mergeCell ref="H8:K8"/>
    <mergeCell ref="O34:S34"/>
    <mergeCell ref="O33:S33"/>
    <mergeCell ref="H20:K20"/>
    <mergeCell ref="H17:K17"/>
    <mergeCell ref="H16:K16"/>
    <mergeCell ref="O16:S16"/>
    <mergeCell ref="F52:G52"/>
    <mergeCell ref="F70:G70"/>
    <mergeCell ref="H22:K22"/>
    <mergeCell ref="H21:K21"/>
    <mergeCell ref="O26:S26"/>
    <mergeCell ref="O25:S25"/>
    <mergeCell ref="O21:S21"/>
    <mergeCell ref="E15:F15"/>
    <mergeCell ref="B22:F22"/>
    <mergeCell ref="H15:K15"/>
    <mergeCell ref="C57:E60"/>
    <mergeCell ref="C64:E67"/>
    <mergeCell ref="C70:E70"/>
    <mergeCell ref="C39:E42"/>
    <mergeCell ref="C46:E49"/>
    <mergeCell ref="C52:E52"/>
    <mergeCell ref="G46:L46"/>
  </mergeCells>
  <conditionalFormatting sqref="O15">
    <cfRule type="cellIs" priority="8" dxfId="34" operator="equal" stopIfTrue="1">
      <formula>"U in € fehlt!"</formula>
    </cfRule>
  </conditionalFormatting>
  <conditionalFormatting sqref="O16">
    <cfRule type="cellIs" priority="9" dxfId="34" operator="equal" stopIfTrue="1">
      <formula>"V in € fehlt!"</formula>
    </cfRule>
  </conditionalFormatting>
  <conditionalFormatting sqref="O17">
    <cfRule type="cellIs" priority="10" dxfId="34" operator="equal" stopIfTrue="1">
      <formula>"Z in € fehlt!"</formula>
    </cfRule>
  </conditionalFormatting>
  <conditionalFormatting sqref="L11 O14">
    <cfRule type="cellIs" priority="11" dxfId="34" operator="equal" stopIfTrue="1">
      <formula>"Afa fehlt!"</formula>
    </cfRule>
  </conditionalFormatting>
  <conditionalFormatting sqref="A30:T71">
    <cfRule type="expression" priority="5" dxfId="33" stopIfTrue="1">
      <formula>$U$30&lt;&gt;"x"</formula>
    </cfRule>
  </conditionalFormatting>
  <conditionalFormatting sqref="G14">
    <cfRule type="expression" priority="37" dxfId="35" stopIfTrue="1">
      <formula>$H$14=0</formula>
    </cfRule>
  </conditionalFormatting>
  <dataValidations count="2">
    <dataValidation type="list" allowBlank="1" showInputMessage="1" showErrorMessage="1" sqref="F42:G42 I57 G39:L39 F60:G60 K60 K42 Q60">
      <formula1>Formel</formula1>
    </dataValidation>
    <dataValidation type="list" allowBlank="1" showInputMessage="1" showErrorMessage="1" sqref="I42 I60 O60">
      <formula1>Op</formula1>
    </dataValidation>
  </dataValidations>
  <printOptions/>
  <pageMargins left="0.3937007874015748" right="0.1968503937007874" top="0.984251968503937" bottom="0.5905511811023623" header="0.3937007874015748" footer="0.5118110236220472"/>
  <pageSetup blackAndWhite="1" horizontalDpi="300" verticalDpi="300" orientation="portrait" paperSize="9" scale="110" r:id="rId2"/>
  <headerFooter alignWithMargins="0">
    <oddFooter>&amp;L&amp;6© Mag. Wolfgang Harasleben</oddFooter>
  </headerFooter>
  <rowBreaks count="1" manualBreakCount="1">
    <brk id="2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2"/>
  </sheetPr>
  <dimension ref="A1:O100"/>
  <sheetViews>
    <sheetView showGridLines="0" showRowColHeader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3359375" style="7" customWidth="1"/>
    <col min="2" max="2" width="17.77734375" style="7" customWidth="1"/>
    <col min="3" max="3" width="7.77734375" style="7" customWidth="1"/>
    <col min="4" max="4" width="9.77734375" style="7" customWidth="1"/>
    <col min="5" max="5" width="0.88671875" style="7" customWidth="1"/>
    <col min="6" max="6" width="7.77734375" style="7" hidden="1" customWidth="1"/>
    <col min="7" max="7" width="0.88671875" style="7" hidden="1" customWidth="1"/>
    <col min="8" max="8" width="9.77734375" style="7" customWidth="1"/>
    <col min="9" max="9" width="10.77734375" style="7" customWidth="1"/>
    <col min="10" max="10" width="4.77734375" style="7" customWidth="1"/>
    <col min="11" max="11" width="1.77734375" style="7" customWidth="1"/>
    <col min="12" max="12" width="4.77734375" style="7" customWidth="1"/>
    <col min="13" max="13" width="14.77734375" style="7" customWidth="1"/>
    <col min="14" max="14" width="1.77734375" style="7" hidden="1" customWidth="1"/>
    <col min="15" max="16384" width="11.5546875" style="7" hidden="1" customWidth="1"/>
  </cols>
  <sheetData>
    <row r="1" spans="1:13" ht="32.25" customHeight="1">
      <c r="A1" s="44" t="s">
        <v>136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5"/>
    </row>
    <row r="2" spans="1:13" ht="39.75" customHeight="1">
      <c r="A2" s="326" t="str">
        <f>IF(D94&gt;H94,"Du musst zuerst alle Berechnungen durchführen, um das                                     Ergebnis ansehen zu können!","")</f>
        <v>Du musst zuerst alle Berechnungen durchführen, um das                                     Ergebnis ansehen zu können!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15"/>
    </row>
    <row r="3" spans="1:13" ht="15">
      <c r="A3" s="185"/>
      <c r="B3" s="186" t="s">
        <v>137</v>
      </c>
      <c r="E3" s="187"/>
      <c r="F3" s="187"/>
      <c r="G3" s="187"/>
      <c r="H3" s="187"/>
      <c r="I3" s="6"/>
      <c r="J3" s="188"/>
      <c r="K3" s="6"/>
      <c r="L3" s="189"/>
      <c r="M3" s="15"/>
    </row>
    <row r="4" spans="2:13" ht="3.75" customHeight="1">
      <c r="B4" s="186"/>
      <c r="E4" s="187"/>
      <c r="F4" s="187"/>
      <c r="G4" s="187"/>
      <c r="H4" s="187"/>
      <c r="I4" s="6"/>
      <c r="J4" s="188"/>
      <c r="K4" s="6"/>
      <c r="L4" s="189"/>
      <c r="M4" s="15"/>
    </row>
    <row r="5" spans="1:13" ht="15">
      <c r="A5" s="190"/>
      <c r="B5" s="186" t="s">
        <v>138</v>
      </c>
      <c r="E5" s="187"/>
      <c r="F5" s="187"/>
      <c r="G5" s="187"/>
      <c r="H5" s="187"/>
      <c r="I5" s="6"/>
      <c r="J5" s="188"/>
      <c r="K5" s="6"/>
      <c r="L5" s="189"/>
      <c r="M5" s="191"/>
    </row>
    <row r="6" spans="5:13" ht="15">
      <c r="E6" s="187"/>
      <c r="F6" s="187"/>
      <c r="G6" s="187"/>
      <c r="H6" s="6"/>
      <c r="I6" s="6"/>
      <c r="J6" s="188"/>
      <c r="K6" s="6"/>
      <c r="L6" s="189"/>
      <c r="M6" s="191"/>
    </row>
    <row r="7" spans="2:13" ht="22.5" customHeight="1">
      <c r="B7" s="192"/>
      <c r="D7" s="193" t="s">
        <v>38</v>
      </c>
      <c r="E7" s="193"/>
      <c r="F7" s="194" t="s">
        <v>39</v>
      </c>
      <c r="G7" s="15"/>
      <c r="H7" s="194" t="s">
        <v>58</v>
      </c>
      <c r="I7" s="195" t="str">
        <f>"Fehler"</f>
        <v>Fehler</v>
      </c>
      <c r="J7" s="325" t="s">
        <v>40</v>
      </c>
      <c r="K7" s="325"/>
      <c r="L7" s="325"/>
      <c r="M7" s="15"/>
    </row>
    <row r="8" spans="1:13" ht="15">
      <c r="A8" s="134" t="s">
        <v>37</v>
      </c>
      <c r="B8" s="134" t="s">
        <v>62</v>
      </c>
      <c r="C8" s="126"/>
      <c r="D8" s="196"/>
      <c r="H8" s="134"/>
      <c r="I8" s="197"/>
      <c r="J8" s="198"/>
      <c r="K8" s="199"/>
      <c r="L8" s="200"/>
      <c r="M8" s="15"/>
    </row>
    <row r="9" spans="1:13" ht="15">
      <c r="A9" s="126"/>
      <c r="B9" s="126" t="s">
        <v>63</v>
      </c>
      <c r="C9" s="126"/>
      <c r="D9" s="201">
        <f>Dateneingabe!F16-Dateneingabe!C14</f>
        <v>12</v>
      </c>
      <c r="E9" s="202"/>
      <c r="F9" s="202" t="s">
        <v>140</v>
      </c>
      <c r="H9" s="203">
        <f>IF(Berechnung!H10="","",Berechnung!H10)</f>
      </c>
      <c r="I9" s="204" t="str">
        <f>IF(H9=D9,"Richtig!",IF(H9="","Fehlt","Falsch"))</f>
        <v>Fehlt</v>
      </c>
      <c r="J9" s="205">
        <f>IF(I9="Richtig!",1,IF(I9="Formel: OK",0.5,IF(OR(I9="Falsch",I9="Fehlt"),0,"")))</f>
        <v>0</v>
      </c>
      <c r="K9" s="199" t="s">
        <v>41</v>
      </c>
      <c r="L9" s="200">
        <v>1</v>
      </c>
      <c r="M9" s="15"/>
    </row>
    <row r="10" spans="1:13" ht="15">
      <c r="A10" s="126"/>
      <c r="B10" s="126" t="str">
        <f>"Zeitwert am 1. 1."&amp;Dateneingabe!F16</f>
        <v>Zeitwert am 1. 1.2014</v>
      </c>
      <c r="C10" s="126"/>
      <c r="D10" s="209">
        <f>IF(D9&gt;=Dateneingabe!C16,1,Dateneingabe!C12-Korrektur!D13*Korrektur!D9)</f>
        <v>6500</v>
      </c>
      <c r="E10" s="202"/>
      <c r="F10" s="225" t="str">
        <f>IF(OR(Berechnung!H6="",H9="",H13=""),"-",Berechnung!H6-H9*H13)</f>
        <v>-</v>
      </c>
      <c r="H10" s="210">
        <f>IF(Berechnung!H11="","",Berechnung!H11)</f>
      </c>
      <c r="I10" s="204" t="str">
        <f>IF(H10=D10,"Richtig!",IF(AND(F10&lt;&gt;"",H10&lt;&gt;D10,H10=F10),"Formel: OK",IF(H10="","Fehlt","Falsch")))</f>
        <v>Fehlt</v>
      </c>
      <c r="J10" s="205">
        <f>IF(I10="Richtig!",1,IF(I10="Formel: OK",0.5,IF(OR(I10="Falsch",I10="Fehlt"),0,"")))</f>
        <v>0</v>
      </c>
      <c r="K10" s="199" t="s">
        <v>41</v>
      </c>
      <c r="L10" s="200">
        <v>1</v>
      </c>
      <c r="M10" s="15"/>
    </row>
    <row r="11" spans="1:13" ht="15">
      <c r="A11" s="126"/>
      <c r="B11" s="126"/>
      <c r="C11" s="126"/>
      <c r="D11" s="206"/>
      <c r="E11" s="202"/>
      <c r="F11" s="202"/>
      <c r="H11" s="207"/>
      <c r="I11" s="204"/>
      <c r="J11" s="208"/>
      <c r="K11" s="199"/>
      <c r="L11" s="200"/>
      <c r="M11" s="15"/>
    </row>
    <row r="12" spans="1:13" ht="15">
      <c r="A12" s="134" t="s">
        <v>42</v>
      </c>
      <c r="B12" s="134" t="s">
        <v>5</v>
      </c>
      <c r="C12" s="126"/>
      <c r="D12" s="196"/>
      <c r="H12" s="134"/>
      <c r="I12" s="197"/>
      <c r="J12" s="198"/>
      <c r="K12" s="199"/>
      <c r="L12" s="200"/>
      <c r="M12" s="15"/>
    </row>
    <row r="13" spans="1:13" ht="15">
      <c r="A13" s="126"/>
      <c r="B13" s="126" t="s">
        <v>43</v>
      </c>
      <c r="C13" s="126"/>
      <c r="D13" s="201">
        <f>IF(Dateneingabe!F16-Dateneingabe!C14&gt;=Dateneingabe!C16,0,Dateneingabe!C12/Dateneingabe!C16)</f>
        <v>2166.6666666666665</v>
      </c>
      <c r="E13" s="202"/>
      <c r="F13" s="202" t="s">
        <v>140</v>
      </c>
      <c r="H13" s="203">
        <f>IF(Berechnung!H14="","",Berechnung!H14)</f>
      </c>
      <c r="I13" s="204" t="str">
        <f>IF(H13=D13,"Richtig!",IF(H13="","Fehlt","Falsch"))</f>
        <v>Fehlt</v>
      </c>
      <c r="J13" s="205">
        <f>IF(I13="Richtig!",1,IF(I13="Formel: OK",0.5,IF(OR(I13="Falsch",I13="Fehlt"),0,"")))</f>
        <v>0</v>
      </c>
      <c r="K13" s="199" t="s">
        <v>41</v>
      </c>
      <c r="L13" s="200">
        <v>1</v>
      </c>
      <c r="M13" s="15"/>
    </row>
    <row r="14" spans="1:13" ht="15">
      <c r="A14" s="126"/>
      <c r="B14" s="126" t="s">
        <v>44</v>
      </c>
      <c r="C14" s="126"/>
      <c r="D14" s="201">
        <f>IF(Dateneingabe!C22&lt;&gt;"",Dateneingabe!C22,Dateneingabe!C12*Dateneingabe!C20)</f>
        <v>223</v>
      </c>
      <c r="E14" s="202"/>
      <c r="F14" s="202" t="s">
        <v>140</v>
      </c>
      <c r="H14" s="203">
        <f>IF(Berechnung!H15="","",Berechnung!H15)</f>
      </c>
      <c r="I14" s="204" t="str">
        <f>IF(H14=D14,"Richtig!",IF(H14="","Fehlt","Falsch"))</f>
        <v>Fehlt</v>
      </c>
      <c r="J14" s="205">
        <f>IF(I14="Richtig!",1,IF(I14="Formel: OK",0.5,IF(OR(I14="Falsch",I14="Fehlt"),0,"")))</f>
        <v>0</v>
      </c>
      <c r="K14" s="199" t="s">
        <v>41</v>
      </c>
      <c r="L14" s="200">
        <v>1</v>
      </c>
      <c r="M14" s="15"/>
    </row>
    <row r="15" spans="1:13" ht="15">
      <c r="A15" s="126"/>
      <c r="B15" s="126" t="s">
        <v>45</v>
      </c>
      <c r="C15" s="126"/>
      <c r="D15" s="201">
        <f>IF(Dateneingabe!C29&lt;&gt;"",Dateneingabe!C29,Dateneingabe!C12*Dateneingabe!C27)</f>
        <v>325</v>
      </c>
      <c r="E15" s="202"/>
      <c r="F15" s="202" t="s">
        <v>140</v>
      </c>
      <c r="H15" s="203">
        <f>IF(Berechnung!H16="","",Berechnung!H16)</f>
      </c>
      <c r="I15" s="204" t="str">
        <f>IF(H15=D15,"Richtig!",IF(H15="","Fehlt","Falsch"))</f>
        <v>Fehlt</v>
      </c>
      <c r="J15" s="205">
        <f>IF(I15="Richtig!",1,IF(I15="Formel: OK",0.5,IF(OR(I15="Falsch",I15="Fehlt"),0,"")))</f>
        <v>0</v>
      </c>
      <c r="K15" s="199" t="s">
        <v>41</v>
      </c>
      <c r="L15" s="200">
        <v>1</v>
      </c>
      <c r="M15" s="15"/>
    </row>
    <row r="16" spans="1:13" ht="15">
      <c r="A16" s="126"/>
      <c r="B16" s="126" t="s">
        <v>46</v>
      </c>
      <c r="C16" s="126"/>
      <c r="D16" s="201">
        <f>Dateneingabe!C12*Dateneingabe!F20</f>
        <v>975</v>
      </c>
      <c r="E16" s="202"/>
      <c r="F16" s="202" t="s">
        <v>140</v>
      </c>
      <c r="H16" s="203">
        <f>IF(Berechnung!H17="","",Berechnung!H17)</f>
      </c>
      <c r="I16" s="204" t="str">
        <f>IF(H16=D16,"Richtig!",IF(H16="","Fehlt","Falsch"))</f>
        <v>Fehlt</v>
      </c>
      <c r="J16" s="205">
        <f>IF(I16="Richtig!",1,IF(I16="Formel: OK",0.5,IF(OR(I16="Falsch",I16="Fehlt"),0,"")))</f>
        <v>0</v>
      </c>
      <c r="K16" s="199" t="s">
        <v>41</v>
      </c>
      <c r="L16" s="200">
        <v>1</v>
      </c>
      <c r="M16" s="15"/>
    </row>
    <row r="17" spans="1:13" ht="15">
      <c r="A17" s="126"/>
      <c r="B17" s="126"/>
      <c r="C17" s="126"/>
      <c r="D17" s="196"/>
      <c r="H17" s="134"/>
      <c r="I17" s="197"/>
      <c r="J17" s="198"/>
      <c r="K17" s="199"/>
      <c r="L17" s="200"/>
      <c r="M17" s="15"/>
    </row>
    <row r="18" spans="1:13" ht="15">
      <c r="A18" s="126"/>
      <c r="B18" s="134" t="s">
        <v>9</v>
      </c>
      <c r="C18" s="126"/>
      <c r="D18" s="209">
        <f>SUM(D13:D16)</f>
        <v>3689.6666666666665</v>
      </c>
      <c r="E18" s="202"/>
      <c r="F18" s="225" t="str">
        <f>IF(OR(Berechnung!H14="",Berechnung!H15="",Berechnung!H16="",Berechnung!H17=""),"-",SUM(Berechnung!H14:H17))</f>
        <v>-</v>
      </c>
      <c r="H18" s="210">
        <f>IF(Berechnung!O18="","",Berechnung!O18)</f>
      </c>
      <c r="I18" s="204" t="str">
        <f>IF(H18=D18,"Richtig!",IF(AND(F18&lt;&gt;"",H18&lt;&gt;D18,H18=F18),"Formel: OK",IF(H18="","Fehlt","Falsch")))</f>
        <v>Fehlt</v>
      </c>
      <c r="J18" s="205">
        <f>IF(I18="Richtig!",1,IF(I18="Formel: OK",0.5,IF(OR(I18="Falsch",I18="Fehlt"),0,"")))</f>
        <v>0</v>
      </c>
      <c r="K18" s="199" t="s">
        <v>41</v>
      </c>
      <c r="L18" s="200">
        <v>1</v>
      </c>
      <c r="M18" s="15"/>
    </row>
    <row r="19" spans="1:13" ht="15">
      <c r="A19" s="126"/>
      <c r="B19" s="126"/>
      <c r="C19" s="126"/>
      <c r="D19" s="196"/>
      <c r="H19" s="134"/>
      <c r="I19" s="197"/>
      <c r="J19" s="198"/>
      <c r="K19" s="199"/>
      <c r="L19" s="200"/>
      <c r="M19" s="15"/>
    </row>
    <row r="20" spans="1:13" ht="15">
      <c r="A20" s="134" t="s">
        <v>47</v>
      </c>
      <c r="B20" s="134" t="s">
        <v>10</v>
      </c>
      <c r="C20" s="126"/>
      <c r="D20" s="196"/>
      <c r="H20" s="134"/>
      <c r="I20" s="197"/>
      <c r="J20" s="198"/>
      <c r="K20" s="199"/>
      <c r="L20" s="200"/>
      <c r="M20" s="15"/>
    </row>
    <row r="21" spans="1:13" ht="15">
      <c r="A21" s="126"/>
      <c r="B21" s="126" t="s">
        <v>48</v>
      </c>
      <c r="C21" s="126"/>
      <c r="D21" s="201">
        <f>Dateneingabe!F22*Dateneingabe!F14</f>
        <v>894.26</v>
      </c>
      <c r="E21" s="202"/>
      <c r="F21" s="202" t="s">
        <v>140</v>
      </c>
      <c r="H21" s="203">
        <f>IF(Berechnung!O21="","",Berechnung!O21)</f>
      </c>
      <c r="I21" s="204" t="str">
        <f>IF(H21=D21,"Richtig!",IF(H21="","Fehlt","Falsch"))</f>
        <v>Fehlt</v>
      </c>
      <c r="J21" s="205">
        <f>IF(I21="Richtig!",1,IF(I21="Formel: OK",0.5,IF(OR(I21="Falsch",I21="Fehlt"),0,"")))</f>
        <v>0</v>
      </c>
      <c r="K21" s="199" t="s">
        <v>41</v>
      </c>
      <c r="L21" s="200">
        <v>1</v>
      </c>
      <c r="M21" s="15"/>
    </row>
    <row r="22" spans="1:13" ht="15">
      <c r="A22" s="126"/>
      <c r="B22" s="126" t="s">
        <v>49</v>
      </c>
      <c r="C22" s="126"/>
      <c r="D22" s="201">
        <f>Dateneingabe!C12*Dateneingabe!F25</f>
        <v>260</v>
      </c>
      <c r="E22" s="202"/>
      <c r="F22" s="202" t="s">
        <v>140</v>
      </c>
      <c r="H22" s="203">
        <f>IF(Berechnung!H22="","",Berechnung!H22)</f>
      </c>
      <c r="I22" s="204" t="str">
        <f>IF(H22=D22,"Richtig!",IF(H22="","Fehlt","Falsch"))</f>
        <v>Fehlt</v>
      </c>
      <c r="J22" s="205">
        <f>IF(I22="Richtig!",1,IF(I22="Formel: OK",0.5,IF(OR(I22="Falsch",I22="Fehlt"),0,"")))</f>
        <v>0</v>
      </c>
      <c r="K22" s="199" t="s">
        <v>41</v>
      </c>
      <c r="L22" s="200">
        <v>1</v>
      </c>
      <c r="M22" s="15"/>
    </row>
    <row r="23" spans="1:13" ht="15">
      <c r="A23" s="126"/>
      <c r="B23" s="126" t="s">
        <v>50</v>
      </c>
      <c r="C23" s="126"/>
      <c r="D23" s="209">
        <f>D22/100*Dateneingabe!F14</f>
        <v>317.2</v>
      </c>
      <c r="E23" s="202"/>
      <c r="F23" s="225" t="str">
        <f>IF(OR(Berechnung!H22="",Dateneingabe!F14=""),"-",Berechnung!H22/100*Dateneingabe!F14)</f>
        <v>-</v>
      </c>
      <c r="H23" s="210">
        <f>IF(Berechnung!O22="","",Berechnung!O22)</f>
      </c>
      <c r="I23" s="204" t="str">
        <f>IF(H23=D23,"Richtig!",IF(AND(F23&lt;&gt;"",H23&lt;&gt;D23,H23=F23),"Formel: OK",IF(H23="","Fehlt","Falsch")))</f>
        <v>Fehlt</v>
      </c>
      <c r="J23" s="205">
        <f>IF(I23="Richtig!",1,IF(I23="Formel: OK",0.5,IF(OR(I23="Falsch",I23="Fehlt"),0,"")))</f>
        <v>0</v>
      </c>
      <c r="K23" s="199" t="s">
        <v>41</v>
      </c>
      <c r="L23" s="200">
        <v>1</v>
      </c>
      <c r="M23" s="15"/>
    </row>
    <row r="24" spans="1:13" ht="15">
      <c r="A24" s="126"/>
      <c r="B24" s="126"/>
      <c r="C24" s="126"/>
      <c r="D24" s="196"/>
      <c r="H24" s="134"/>
      <c r="I24" s="197"/>
      <c r="J24" s="198"/>
      <c r="K24" s="199"/>
      <c r="L24" s="200"/>
      <c r="M24" s="15"/>
    </row>
    <row r="25" spans="1:13" ht="15">
      <c r="A25" s="126"/>
      <c r="B25" s="134" t="s">
        <v>12</v>
      </c>
      <c r="C25" s="126"/>
      <c r="D25" s="209">
        <f>SUM(D21,D23)</f>
        <v>1211.46</v>
      </c>
      <c r="E25" s="202"/>
      <c r="F25" s="225" t="str">
        <f>IF(OR(Berechnung!O21="",Berechnung!O22=""),"-",SUM(Berechnung!O21:O22))</f>
        <v>-</v>
      </c>
      <c r="H25" s="210">
        <f>IF(Berechnung!O23="","",Berechnung!O23)</f>
      </c>
      <c r="I25" s="204" t="str">
        <f>IF(H25=D25,"Richtig!",IF(AND(F25&lt;&gt;"",H25&lt;&gt;D25,H25=F25),"Formel: OK",IF(H25="","Fehlt","Falsch")))</f>
        <v>Fehlt</v>
      </c>
      <c r="J25" s="205">
        <f>IF(I25="Richtig!",1,IF(I25="Formel: OK",0.5,IF(OR(I25="Falsch",I25="Fehlt"),0,"")))</f>
        <v>0</v>
      </c>
      <c r="K25" s="199" t="s">
        <v>41</v>
      </c>
      <c r="L25" s="200">
        <v>1</v>
      </c>
      <c r="M25" s="15"/>
    </row>
    <row r="26" spans="1:13" ht="15">
      <c r="A26" s="126"/>
      <c r="B26" s="126"/>
      <c r="C26" s="126"/>
      <c r="D26" s="196"/>
      <c r="H26" s="134"/>
      <c r="I26" s="197"/>
      <c r="J26" s="198"/>
      <c r="K26" s="199"/>
      <c r="L26" s="200"/>
      <c r="M26" s="15"/>
    </row>
    <row r="27" spans="1:13" ht="15">
      <c r="A27" s="134" t="s">
        <v>61</v>
      </c>
      <c r="B27" s="134" t="s">
        <v>51</v>
      </c>
      <c r="C27" s="126"/>
      <c r="D27" s="196"/>
      <c r="H27" s="134"/>
      <c r="I27" s="197"/>
      <c r="J27" s="198"/>
      <c r="K27" s="199"/>
      <c r="L27" s="200"/>
      <c r="M27" s="15"/>
    </row>
    <row r="28" spans="1:13" ht="15">
      <c r="A28" s="126"/>
      <c r="B28" s="126" t="s">
        <v>52</v>
      </c>
      <c r="C28" s="126"/>
      <c r="D28" s="209">
        <f>D18/Dateneingabe!F14</f>
        <v>30.243169398907103</v>
      </c>
      <c r="E28" s="202"/>
      <c r="F28" s="225" t="str">
        <f>IF(OR(Berechnung!O18="",Dateneingabe!F14=""),"-",Berechnung!O18/Dateneingabe!F14)</f>
        <v>-</v>
      </c>
      <c r="H28" s="210">
        <f>IF(Berechnung!O26="","",Berechnung!O26)</f>
      </c>
      <c r="I28" s="204" t="str">
        <f>IF(H28=D28,"Richtig!",IF(AND(F28&lt;&gt;"",H28&lt;&gt;D28,H28=F28),"Formel: OK",IF(H28="","Fehlt","Falsch")))</f>
        <v>Fehlt</v>
      </c>
      <c r="J28" s="205">
        <f>IF(I28="Richtig!",1,IF(I28="Formel: OK",0.5,IF(OR(I28="Falsch",I28="Fehlt"),0,"")))</f>
        <v>0</v>
      </c>
      <c r="K28" s="199" t="s">
        <v>41</v>
      </c>
      <c r="L28" s="200">
        <v>1</v>
      </c>
      <c r="M28" s="15"/>
    </row>
    <row r="29" spans="1:13" ht="15">
      <c r="A29" s="126"/>
      <c r="B29" s="126" t="s">
        <v>53</v>
      </c>
      <c r="C29" s="126"/>
      <c r="D29" s="209">
        <f>D25/Dateneingabe!F14</f>
        <v>9.93</v>
      </c>
      <c r="E29" s="202"/>
      <c r="F29" s="225" t="str">
        <f>IF(OR(Berechnung!O23="",Dateneingabe!F14=""),"-",Berechnung!O23/Dateneingabe!F14)</f>
        <v>-</v>
      </c>
      <c r="H29" s="210">
        <f>IF(Berechnung!O27="","",Berechnung!O27)</f>
      </c>
      <c r="I29" s="204" t="str">
        <f>IF(H29=D29,"Richtig!",IF(AND(F29&lt;&gt;"",H29&lt;&gt;D29,H29=F29),"Formel: OK",IF(H29="","Fehlt","Falsch")))</f>
        <v>Fehlt</v>
      </c>
      <c r="J29" s="205">
        <f>IF(I29="Richtig!",1,IF(I29="Formel: OK",0.5,IF(OR(I29="Falsch",I29="Fehlt"),0,"")))</f>
        <v>0</v>
      </c>
      <c r="K29" s="199" t="s">
        <v>41</v>
      </c>
      <c r="L29" s="200">
        <v>1</v>
      </c>
      <c r="M29" s="15"/>
    </row>
    <row r="30" spans="1:13" ht="15">
      <c r="A30" s="126"/>
      <c r="B30" s="134" t="s">
        <v>54</v>
      </c>
      <c r="C30" s="126"/>
      <c r="D30" s="209">
        <f>SUM(D28:D29)</f>
        <v>40.173169398907106</v>
      </c>
      <c r="E30" s="202"/>
      <c r="F30" s="225" t="str">
        <f>IF(OR(Berechnung!O27="",Berechnung!O26=""),"-",SUM(Berechnung!O26:O27))</f>
        <v>-</v>
      </c>
      <c r="H30" s="210">
        <f>IF(Berechnung!O28="","",Berechnung!O28)</f>
      </c>
      <c r="I30" s="204" t="str">
        <f>IF(H30=D30,"Richtig!",IF(AND(F30&lt;&gt;"",H30&lt;&gt;D30,H30=F30),"Formel: OK",IF(H30="","Fehlt","Falsch")))</f>
        <v>Fehlt</v>
      </c>
      <c r="J30" s="205">
        <f>IF(I30="Richtig!",1,IF(I30="Formel: OK",0.5,IF(OR(I30="Falsch",I30="Fehlt"),0,"")))</f>
        <v>0</v>
      </c>
      <c r="K30" s="199" t="s">
        <v>41</v>
      </c>
      <c r="L30" s="200">
        <v>1</v>
      </c>
      <c r="M30" s="15"/>
    </row>
    <row r="31" spans="4:13" ht="15">
      <c r="D31" s="196"/>
      <c r="I31" s="197"/>
      <c r="J31" s="198"/>
      <c r="K31" s="199"/>
      <c r="L31" s="200"/>
      <c r="M31" s="15"/>
    </row>
    <row r="32" spans="1:13" ht="15">
      <c r="A32" s="226" t="s">
        <v>55</v>
      </c>
      <c r="B32" s="227"/>
      <c r="C32" s="227"/>
      <c r="D32" s="227"/>
      <c r="E32" s="227"/>
      <c r="F32" s="227"/>
      <c r="G32" s="227"/>
      <c r="H32" s="227"/>
      <c r="I32" s="227"/>
      <c r="J32" s="229">
        <f>SUM(J9:J30)</f>
        <v>0</v>
      </c>
      <c r="K32" s="230" t="s">
        <v>41</v>
      </c>
      <c r="L32" s="228">
        <f>SUM(L9:L30)</f>
        <v>14</v>
      </c>
      <c r="M32" s="15"/>
    </row>
    <row r="33" spans="1:13" ht="3" customHeight="1">
      <c r="A33" s="231"/>
      <c r="B33" s="231"/>
      <c r="C33" s="231"/>
      <c r="D33" s="231"/>
      <c r="E33" s="231"/>
      <c r="F33" s="231"/>
      <c r="G33" s="232"/>
      <c r="H33" s="232"/>
      <c r="I33" s="232"/>
      <c r="J33" s="231"/>
      <c r="K33" s="231"/>
      <c r="L33" s="233"/>
      <c r="M33" s="15"/>
    </row>
    <row r="34" ht="49.5" customHeight="1">
      <c r="M34" s="15"/>
    </row>
    <row r="35" spans="1:15" ht="22.5">
      <c r="A35" s="211" t="s">
        <v>56</v>
      </c>
      <c r="B35" s="15"/>
      <c r="C35" s="323">
        <f>J32/L32</f>
        <v>0</v>
      </c>
      <c r="D35" s="323"/>
      <c r="E35" s="323"/>
      <c r="F35" s="323"/>
      <c r="G35" s="323"/>
      <c r="H35" s="323"/>
      <c r="I35" s="212"/>
      <c r="J35" s="212"/>
      <c r="K35" s="212"/>
      <c r="L35" s="212"/>
      <c r="M35" s="212"/>
      <c r="O35" s="213"/>
    </row>
    <row r="36" spans="1:15" ht="23.25">
      <c r="A36" s="214"/>
      <c r="B36" s="215">
        <f>C36-C96</f>
        <v>13</v>
      </c>
      <c r="C36" s="216">
        <f>L32</f>
        <v>14</v>
      </c>
      <c r="D36" s="217" t="str">
        <f>IF(AND(J32&gt;=B36-0.5,J32&lt;=C36),"u","j")</f>
        <v>j</v>
      </c>
      <c r="E36" s="24">
        <f>IF(OR(J32=B36-0.5,J32=B36),"-","")</f>
      </c>
      <c r="I36" s="218"/>
      <c r="J36" s="219"/>
      <c r="K36" s="218"/>
      <c r="M36" s="15"/>
      <c r="O36" s="152"/>
    </row>
    <row r="37" spans="1:15" ht="23.25">
      <c r="A37" s="214"/>
      <c r="B37" s="215">
        <f>C37-C96</f>
        <v>11</v>
      </c>
      <c r="C37" s="220">
        <f>B36-1</f>
        <v>12</v>
      </c>
      <c r="D37" s="217" t="str">
        <f>IF(AND(J32&gt;=B37-0.5,J32&lt;=C37),"v","k")</f>
        <v>k</v>
      </c>
      <c r="E37" s="24">
        <f>IF(OR(J32=B37-0.5,J32=B37),"-",IF(OR(J32=C37-0.5,J32=C37),"+",""))</f>
      </c>
      <c r="I37" s="218"/>
      <c r="J37" s="219"/>
      <c r="K37" s="218"/>
      <c r="M37" s="15"/>
      <c r="O37" s="152"/>
    </row>
    <row r="38" spans="1:15" ht="23.25">
      <c r="A38" s="214"/>
      <c r="B38" s="215">
        <f>C38-C96</f>
        <v>9</v>
      </c>
      <c r="C38" s="220">
        <f>B37-1</f>
        <v>10</v>
      </c>
      <c r="D38" s="217" t="str">
        <f>IF(AND(J32&gt;=B38-0.5,J32&lt;=C38),"w","l")</f>
        <v>l</v>
      </c>
      <c r="E38" s="24">
        <f>IF(OR(J32=B38-0.5,J32=B38),"-",IF(OR(J32=C38-0.5,J32=C38),"+",""))</f>
      </c>
      <c r="I38" s="218"/>
      <c r="J38" s="219"/>
      <c r="K38" s="218"/>
      <c r="M38" s="15"/>
      <c r="O38" s="152"/>
    </row>
    <row r="39" spans="1:15" ht="23.25">
      <c r="A39" s="214"/>
      <c r="B39" s="215">
        <f>C39-C96</f>
        <v>7</v>
      </c>
      <c r="C39" s="220">
        <f>B38-1</f>
        <v>8</v>
      </c>
      <c r="D39" s="217" t="str">
        <f>IF(AND(J32&gt;=B39-0.5,J32&lt;=C39),"x","m")</f>
        <v>m</v>
      </c>
      <c r="E39" s="24">
        <f>IF(OR(J32=B39-0.5,J32=B39),"-",IF(OR(J32=C39-0.5,J32=C39),"+",""))</f>
      </c>
      <c r="K39" s="218"/>
      <c r="M39" s="15"/>
      <c r="O39" s="152"/>
    </row>
    <row r="40" spans="1:15" ht="23.25">
      <c r="A40" s="214"/>
      <c r="B40" s="215">
        <v>0</v>
      </c>
      <c r="C40" s="220">
        <f>B39-1</f>
        <v>6</v>
      </c>
      <c r="D40" s="217" t="str">
        <f>IF(AND(J32&gt;=B40-0.5,J32&lt;=C40),"y","n")</f>
        <v>y</v>
      </c>
      <c r="E40" s="24">
        <f>IF(OR(J32=C40-1,J32=C40-0.5,J32=C40),"+","")</f>
      </c>
      <c r="K40" s="218"/>
      <c r="M40" s="15"/>
      <c r="O40" s="152"/>
    </row>
    <row r="41" spans="1:1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32.25" customHeight="1">
      <c r="A42" s="44" t="str">
        <f>IF(Dateneingabe!D8&lt;&gt;"x","","Korrekturblatt - Mindesteinsatzstunden von Maschinen")</f>
        <v>Korrekturblatt - Mindesteinsatzstunden von Maschinen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5"/>
    </row>
    <row r="43" spans="1:13" ht="39.75" customHeight="1">
      <c r="A43" s="326" t="str">
        <f>IF(D98&gt;H98,"Du musst zuerst alle Berechnungen durchführen, um das                                     Ergebnis ansehen zu können!","")</f>
        <v>Du musst zuerst alle Berechnungen durchführen, um das                                     Ergebnis ansehen zu können!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15"/>
    </row>
    <row r="44" spans="2:13" ht="22.5" customHeight="1">
      <c r="B44" s="192"/>
      <c r="D44" s="193" t="str">
        <f>IF(Dateneingabe!D8&lt;&gt;"x","","Ergebnis")</f>
        <v>Ergebnis</v>
      </c>
      <c r="E44" s="193"/>
      <c r="F44" s="194" t="s">
        <v>39</v>
      </c>
      <c r="G44" s="15"/>
      <c r="H44" s="194" t="str">
        <f>IF(Dateneingabe!D8&lt;&gt;"x","","Deine Be-rechnung")</f>
        <v>Deine Be-rechnung</v>
      </c>
      <c r="I44" s="195" t="str">
        <f>IF(Dateneingabe!D8&lt;&gt;"x","","Fehler")</f>
        <v>Fehler</v>
      </c>
      <c r="J44" s="325" t="str">
        <f>IF(Dateneingabe!D8&lt;&gt;"x","","Punkte")</f>
        <v>Punkte</v>
      </c>
      <c r="K44" s="325"/>
      <c r="L44" s="325"/>
      <c r="M44" s="15"/>
    </row>
    <row r="45" spans="1:13" ht="15">
      <c r="A45" s="234" t="str">
        <f>IF(Dateneingabe!D8&lt;&gt;"x","","1.")</f>
        <v>1.</v>
      </c>
      <c r="B45" s="234" t="str">
        <f>IF(Dateneingabe!D8&lt;&gt;"x","","Ohne Berücksichtigung der Arbeitskosten")</f>
        <v>Ohne Berücksichtigung der Arbeitskosten</v>
      </c>
      <c r="C45" s="221"/>
      <c r="D45" s="196"/>
      <c r="H45" s="134"/>
      <c r="I45" s="197"/>
      <c r="J45" s="198"/>
      <c r="K45" s="222"/>
      <c r="L45" s="200"/>
      <c r="M45" s="15"/>
    </row>
    <row r="46" spans="1:13" ht="15">
      <c r="A46" s="234"/>
      <c r="B46" s="235" t="str">
        <f>IF(Dateneingabe!D8&lt;&gt;"x","","Formel")</f>
        <v>Formel</v>
      </c>
      <c r="C46" s="221"/>
      <c r="D46" s="196"/>
      <c r="H46" s="134"/>
      <c r="I46" s="197"/>
      <c r="J46" s="198"/>
      <c r="K46" s="222"/>
      <c r="L46" s="200"/>
      <c r="M46" s="15"/>
    </row>
    <row r="47" spans="2:13" ht="15">
      <c r="B47" s="223" t="str">
        <f>IF(Dateneingabe!D8&lt;&gt;"x","","Fixkosten/Jahr")</f>
        <v>Fixkosten/Jahr</v>
      </c>
      <c r="C47" s="221"/>
      <c r="D47" s="201" t="str">
        <f>IF(Dateneingabe!D8&lt;&gt;"x","",IF(Hilfe!G76="","",Hilfe!G76))</f>
        <v>Fixkosten/Jahr</v>
      </c>
      <c r="E47" s="202"/>
      <c r="F47" s="202" t="s">
        <v>140</v>
      </c>
      <c r="H47" s="203">
        <f>IF(Dateneingabe!D8&lt;&gt;"x","",IF(Berechnung!G39="","",Berechnung!G39))</f>
      </c>
      <c r="I47" s="224" t="str">
        <f>IF(Dateneingabe!$D$8&lt;&gt;"x","",IF(AND(D47="",H47=""),"",IF(H47=D47,"Richtig!",IF(AND(D47&lt;&gt;"",H47=F47),"Formel: OK",IF(H47="","Fehlt","Falsch")))))</f>
        <v>Fehlt</v>
      </c>
      <c r="J47" s="205">
        <f>IF(Dateneingabe!$D$8&lt;&gt;"x","",IF(I47="Richtig!",1,IF(I47="Formel: OK",0.5,IF(OR(I47="Falsch",I47="Fehlt"),0,""))))</f>
        <v>0</v>
      </c>
      <c r="K47" s="222" t="str">
        <f>IF(Dateneingabe!$D$8&lt;&gt;"x","",IF(AND(D47="",H47=""),"","│"))</f>
        <v>│</v>
      </c>
      <c r="L47" s="200">
        <f>IF(Dateneingabe!$D$8&lt;&gt;"x","",IF(AND(D47="",H47=""),"",1))</f>
        <v>1</v>
      </c>
      <c r="M47" s="15"/>
    </row>
    <row r="48" spans="2:13" ht="15">
      <c r="B48" s="223" t="str">
        <f>IF(Dateneingabe!D8&lt;&gt;"x","","MR-Tarif/h")</f>
        <v>MR-Tarif/h</v>
      </c>
      <c r="C48" s="221"/>
      <c r="D48" s="201" t="str">
        <f>IF(Dateneingabe!D8&lt;&gt;"x","",IF(Hilfe!F79="","",Hilfe!F79))</f>
        <v>MR-Tarif/h</v>
      </c>
      <c r="E48" s="202"/>
      <c r="F48" s="202" t="s">
        <v>140</v>
      </c>
      <c r="H48" s="203">
        <f>IF(Dateneingabe!D8&lt;&gt;"x","",IF(Berechnung!F42="","",Berechnung!F42))</f>
      </c>
      <c r="I48" s="224" t="str">
        <f>IF(Dateneingabe!$D$8&lt;&gt;"x","",IF(AND(D48="",H48=""),"",IF(H48=D48,"Richtig!",IF(AND(D48&lt;&gt;"",H48=F48),"Formel: OK",IF(H48="","Fehlt","Falsch")))))</f>
        <v>Fehlt</v>
      </c>
      <c r="J48" s="205">
        <f>IF(Dateneingabe!$D$8&lt;&gt;"x","",IF(I48="Richtig!",1,IF(I48="Formel: OK",0.5,IF(OR(I48="Falsch",I48="Fehlt"),0,""))))</f>
        <v>0</v>
      </c>
      <c r="K48" s="222" t="str">
        <f>IF(Dateneingabe!$D$8&lt;&gt;"x","",IF(AND(D48="",H48=""),"","│"))</f>
        <v>│</v>
      </c>
      <c r="L48" s="200">
        <f>IF(Dateneingabe!$D$8&lt;&gt;"x","",IF(AND(D48="",H48=""),"",1))</f>
        <v>1</v>
      </c>
      <c r="M48" s="15"/>
    </row>
    <row r="49" spans="2:13" ht="15">
      <c r="B49" s="223" t="str">
        <f>IF(Dateneingabe!D8&lt;&gt;"x","","Minus")</f>
        <v>Minus</v>
      </c>
      <c r="C49" s="221"/>
      <c r="D49" s="201" t="str">
        <f>IF(Dateneingabe!D8&lt;&gt;"x","",IF(Hilfe!I79="","",Hilfe!I79))</f>
        <v>−</v>
      </c>
      <c r="E49" s="202"/>
      <c r="F49" s="202" t="s">
        <v>140</v>
      </c>
      <c r="H49" s="203">
        <f>IF(Dateneingabe!D8&lt;&gt;"x","",IF(Berechnung!I42="","",Berechnung!I42))</f>
      </c>
      <c r="I49" s="224" t="str">
        <f>IF(Dateneingabe!$D$8&lt;&gt;"x","",IF(AND(D49="",H49=""),"",IF(H49=D49,"Richtig!",IF(AND(D49&lt;&gt;"",H49=F49),"Formel: OK",IF(H49="","Fehlt","Falsch")))))</f>
        <v>Fehlt</v>
      </c>
      <c r="J49" s="205">
        <f>IF(Dateneingabe!$D$8&lt;&gt;"x","",IF(I49="Richtig!",1,IF(I49="Formel: OK",0.5,IF(OR(I49="Falsch",I49="Fehlt"),0,""))))</f>
        <v>0</v>
      </c>
      <c r="K49" s="222" t="str">
        <f>IF(Dateneingabe!$D$8&lt;&gt;"x","",IF(AND(D49="",H49=""),"","│"))</f>
        <v>│</v>
      </c>
      <c r="L49" s="200">
        <f>IF(Dateneingabe!$D$8&lt;&gt;"x","",IF(AND(D49="",H49=""),"",1))</f>
        <v>1</v>
      </c>
      <c r="M49" s="15"/>
    </row>
    <row r="50" spans="2:13" ht="15">
      <c r="B50" s="223" t="str">
        <f>IF(Dateneingabe!D8&lt;&gt;"x","","VK/h")</f>
        <v>VK/h</v>
      </c>
      <c r="C50" s="221"/>
      <c r="D50" s="201" t="str">
        <f>IF(Dateneingabe!D8&lt;&gt;"x","",IF(Hilfe!K79="","",Hilfe!K79))</f>
        <v>VK/h</v>
      </c>
      <c r="E50" s="202"/>
      <c r="F50" s="202" t="s">
        <v>140</v>
      </c>
      <c r="H50" s="203">
        <f>IF(Dateneingabe!D8&lt;&gt;"x","",IF(Berechnung!K42="","",Berechnung!K42))</f>
      </c>
      <c r="I50" s="224" t="str">
        <f>IF(Dateneingabe!$D$8&lt;&gt;"x","",IF(AND(D50="",H50=""),"",IF(H50=D50,"Richtig!",IF(AND(D50&lt;&gt;"",H50=F50),"Formel: OK",IF(H50="","Fehlt","Falsch")))))</f>
        <v>Fehlt</v>
      </c>
      <c r="J50" s="205">
        <f>IF(Dateneingabe!$D$8&lt;&gt;"x","",IF(I50="Richtig!",1,IF(I50="Formel: OK",0.5,IF(OR(I50="Falsch",I50="Fehlt"),0,""))))</f>
        <v>0</v>
      </c>
      <c r="K50" s="222" t="str">
        <f>IF(Dateneingabe!$D$8&lt;&gt;"x","",IF(AND(D50="",H50=""),"","│"))</f>
        <v>│</v>
      </c>
      <c r="L50" s="200">
        <f>IF(Dateneingabe!$D$8&lt;&gt;"x","",IF(AND(D50="",H50=""),"",1))</f>
        <v>1</v>
      </c>
      <c r="M50" s="15"/>
    </row>
    <row r="51" spans="1:13" ht="15">
      <c r="A51" s="184"/>
      <c r="B51" s="184"/>
      <c r="C51" s="184"/>
      <c r="D51" s="22"/>
      <c r="E51" s="1"/>
      <c r="F51" s="1"/>
      <c r="G51" s="1"/>
      <c r="H51" s="23"/>
      <c r="I51" s="224">
        <f>IF(Dateneingabe!$D$8&lt;&gt;"x","",IF(AND(D51="",H51=""),"",IF(H51=D51,"Richtig!",IF(AND(D51&lt;&gt;"",H51=F51),"Formel: OK",IF(H51="","Fehlt","Falsch")))))</f>
      </c>
      <c r="J51" s="198"/>
      <c r="K51" s="222"/>
      <c r="L51" s="200"/>
      <c r="M51" s="15">
        <f>IF(AND(D51="",H51=""),"",1)</f>
      </c>
    </row>
    <row r="52" spans="2:13" ht="15">
      <c r="B52" s="235" t="str">
        <f>IF(Dateneingabe!D8&lt;&gt;"x","","Rechenansatz")</f>
        <v>Rechenansatz</v>
      </c>
      <c r="C52" s="221"/>
      <c r="D52" s="196"/>
      <c r="H52" s="134"/>
      <c r="I52" s="224">
        <f>IF(Dateneingabe!$D$8&lt;&gt;"x","",IF(AND(D52="",H52=""),"",IF(H52=D52,"Richtig!",IF(AND(D52&lt;&gt;"",H52=F52),"Formel: OK",IF(H52="","Fehlt","Falsch")))))</f>
      </c>
      <c r="J52" s="198"/>
      <c r="K52" s="222"/>
      <c r="L52" s="200"/>
      <c r="M52" s="15"/>
    </row>
    <row r="53" spans="2:13" ht="15">
      <c r="B53" s="223" t="str">
        <f>IF(Dateneingabe!D8&lt;&gt;"x","","Fixkosten/Jahr")</f>
        <v>Fixkosten/Jahr</v>
      </c>
      <c r="C53" s="221"/>
      <c r="D53" s="209">
        <f>IF(Dateneingabe!D8&lt;&gt;"x","",IF(Hilfe!G83="","",Hilfe!G83))</f>
        <v>3689.6666666666665</v>
      </c>
      <c r="E53" s="202"/>
      <c r="F53" s="225" t="str">
        <f>IF(H18="","-",H18)</f>
        <v>-</v>
      </c>
      <c r="H53" s="210">
        <f>IF(Dateneingabe!D8&lt;&gt;"x","",IF(Berechnung!G46="","",Berechnung!G46))</f>
      </c>
      <c r="I53" s="224" t="str">
        <f>IF(Dateneingabe!$D$8&lt;&gt;"x","",IF(AND(D53="",H53=""),"",IF(H53=D53,"Richtig!",IF(AND(D53&lt;&gt;"",H53=F53),"Formel: OK",IF(H53="","Fehlt","Falsch")))))</f>
        <v>Fehlt</v>
      </c>
      <c r="J53" s="205">
        <f>IF(Dateneingabe!$D$8&lt;&gt;"x","",IF(I53="Richtig!",1,IF(I53="Formel: OK",0.5,IF(OR(I53="Falsch",I53="Fehlt"),0,""))))</f>
        <v>0</v>
      </c>
      <c r="K53" s="222" t="str">
        <f>IF(Dateneingabe!$D$8&lt;&gt;"x","",IF(AND(D53="",H53=""),"","│"))</f>
        <v>│</v>
      </c>
      <c r="L53" s="200">
        <f>IF(Dateneingabe!$D$8&lt;&gt;"x","",IF(AND(D53="",H53=""),"",1))</f>
        <v>1</v>
      </c>
      <c r="M53" s="15"/>
    </row>
    <row r="54" spans="2:13" ht="15">
      <c r="B54" s="223" t="str">
        <f>IF(Dateneingabe!D8&lt;&gt;"x","","MR-Tarif/h")</f>
        <v>MR-Tarif/h</v>
      </c>
      <c r="C54" s="221"/>
      <c r="D54" s="201">
        <f>IF(Dateneingabe!D8&lt;&gt;"x","",IF(Hilfe!F86="","",Hilfe!F86))</f>
        <v>42.15</v>
      </c>
      <c r="E54" s="202"/>
      <c r="F54" s="202" t="s">
        <v>140</v>
      </c>
      <c r="H54" s="203">
        <f>IF(Dateneingabe!D8&lt;&gt;"x","",IF(Berechnung!F49="","",Berechnung!F49))</f>
      </c>
      <c r="I54" s="224" t="str">
        <f>IF(Dateneingabe!$D$8&lt;&gt;"x","",IF(AND(D54="",H54=""),"",IF(H54=D54,"Richtig!",IF(AND(D54&lt;&gt;"",H54=F54),"Formel: OK",IF(H54="","Fehlt","Falsch")))))</f>
        <v>Fehlt</v>
      </c>
      <c r="J54" s="205">
        <f>IF(Dateneingabe!$D$8&lt;&gt;"x","",IF(I54="Richtig!",1,IF(I54="Formel: OK",0.5,IF(OR(I54="Falsch",I54="Fehlt"),0,""))))</f>
        <v>0</v>
      </c>
      <c r="K54" s="222" t="str">
        <f>IF(Dateneingabe!$D$8&lt;&gt;"x","",IF(AND(D54="",H54=""),"","│"))</f>
        <v>│</v>
      </c>
      <c r="L54" s="200">
        <f>IF(Dateneingabe!$D$8&lt;&gt;"x","",IF(AND(D54="",H54=""),"",1))</f>
        <v>1</v>
      </c>
      <c r="M54" s="15"/>
    </row>
    <row r="55" spans="2:13" ht="15">
      <c r="B55" s="223" t="str">
        <f>IF(Dateneingabe!D8&lt;&gt;"x","","VK/h")</f>
        <v>VK/h</v>
      </c>
      <c r="C55" s="221"/>
      <c r="D55" s="209">
        <f>IF(Dateneingabe!D8&lt;&gt;"x","",IF(Hilfe!K86="","",Hilfe!K86))</f>
        <v>9.93</v>
      </c>
      <c r="E55" s="202"/>
      <c r="F55" s="225" t="str">
        <f>IF(H29="","-",H29)</f>
        <v>-</v>
      </c>
      <c r="H55" s="210">
        <f>IF(Dateneingabe!D8&lt;&gt;"x","",IF(Berechnung!K49="","",Berechnung!K49))</f>
      </c>
      <c r="I55" s="224" t="str">
        <f>IF(Dateneingabe!$D$8&lt;&gt;"x","",IF(AND(D55="",H55=""),"",IF(H55=D55,"Richtig!",IF(AND(D55&lt;&gt;"",H55=F55),"Formel: OK",IF(H55="","Fehlt","Falsch")))))</f>
        <v>Fehlt</v>
      </c>
      <c r="J55" s="205">
        <f>IF(Dateneingabe!$D$8&lt;&gt;"x","",IF(I55="Richtig!",1,IF(I55="Formel: OK",0.5,IF(OR(I55="Falsch",I55="Fehlt"),0,""))))</f>
        <v>0</v>
      </c>
      <c r="K55" s="222" t="str">
        <f>IF(Dateneingabe!$D$8&lt;&gt;"x","",IF(AND(D55="",H55=""),"","│"))</f>
        <v>│</v>
      </c>
      <c r="L55" s="200">
        <f>IF(Dateneingabe!$D$8&lt;&gt;"x","",IF(AND(D55="",H55=""),"",1))</f>
        <v>1</v>
      </c>
      <c r="M55" s="15"/>
    </row>
    <row r="56" spans="1:13" ht="15">
      <c r="A56" s="184"/>
      <c r="B56" s="184"/>
      <c r="C56" s="184"/>
      <c r="D56" s="22"/>
      <c r="E56" s="1"/>
      <c r="F56" s="1"/>
      <c r="G56" s="1"/>
      <c r="H56" s="23"/>
      <c r="I56" s="224">
        <f>IF(Dateneingabe!$D$8&lt;&gt;"x","",IF(AND(D56="",H56=""),"",IF(H56=D56,"Richtig!",IF(AND(D56&lt;&gt;"",H56=F56),"Formel: OK",IF(H56="","Fehlt","Falsch")))))</f>
      </c>
      <c r="J56" s="198"/>
      <c r="K56" s="222"/>
      <c r="L56" s="200"/>
      <c r="M56" s="15">
        <f>IF(AND(D56="",H56=""),"",1)</f>
      </c>
    </row>
    <row r="57" spans="2:13" ht="15">
      <c r="B57" s="235" t="str">
        <f>IF(Dateneingabe!D8&lt;&gt;"x","","Ergebnis")</f>
        <v>Ergebnis</v>
      </c>
      <c r="C57" s="221"/>
      <c r="D57" s="196"/>
      <c r="H57" s="134"/>
      <c r="I57" s="224">
        <f>IF(Dateneingabe!$D$8&lt;&gt;"x","",IF(AND(D57="",H57=""),"",IF(H57=D57,"Richtig!",IF(AND(D57&lt;&gt;"",H57=F57),"Formel: OK",IF(H57="","Fehlt","Falsch")))))</f>
      </c>
      <c r="J57" s="198"/>
      <c r="K57" s="222"/>
      <c r="L57" s="200"/>
      <c r="M57" s="15"/>
    </row>
    <row r="58" spans="2:13" ht="15">
      <c r="B58" s="223" t="str">
        <f>IF(Dateneingabe!D8&lt;&gt;"x","","Mindesteinsatzstunden")</f>
        <v>Mindesteinsatzstunden</v>
      </c>
      <c r="C58" s="221"/>
      <c r="D58" s="209">
        <f>IF(Dateneingabe!D8&lt;&gt;"x","",IF(Hilfe!F89="","",Hilfe!F89))</f>
        <v>114.51479412373267</v>
      </c>
      <c r="E58" s="202"/>
      <c r="F58" s="225" t="str">
        <f>IF(OR(H53="",H54="",H55=""),"-",H53/(H54-H55))</f>
        <v>-</v>
      </c>
      <c r="H58" s="210">
        <f>IF(Dateneingabe!D8&lt;&gt;"x","",IF(Berechnung!F52="","",Berechnung!F52))</f>
      </c>
      <c r="I58" s="224" t="str">
        <f>IF(Dateneingabe!$D$8&lt;&gt;"x","",IF(AND(D58="",H58=""),"",IF(H58=D58,"Richtig!",IF(AND(D58&lt;&gt;"",H58=F58),"Formel: OK",IF(H58="","Fehlt","Falsch")))))</f>
        <v>Fehlt</v>
      </c>
      <c r="J58" s="205">
        <f>IF(Dateneingabe!$D$8&lt;&gt;"x","",IF(I58="Richtig!",1,IF(I58="Formel: OK",0.5,IF(OR(I58="Falsch",I58="Fehlt"),0,""))))</f>
        <v>0</v>
      </c>
      <c r="K58" s="222" t="str">
        <f>IF(Dateneingabe!$D$8&lt;&gt;"x","",IF(AND(D58="",H58=""),"","│"))</f>
        <v>│</v>
      </c>
      <c r="L58" s="200">
        <f>IF(Dateneingabe!$D$8&lt;&gt;"x","",IF(AND(D58="",H58=""),"",1))</f>
        <v>1</v>
      </c>
      <c r="M58" s="15"/>
    </row>
    <row r="59" spans="2:13" ht="15">
      <c r="B59" s="223"/>
      <c r="C59" s="221"/>
      <c r="D59" s="196"/>
      <c r="H59" s="134"/>
      <c r="I59" s="224">
        <f>IF(Dateneingabe!$D$8&lt;&gt;"x","",IF(AND(D59="",H59=""),"",IF(H59=D59,"Richtig!",IF(AND(D59&lt;&gt;"",H59=F59),"Formel: OK",IF(H59="","Fehlt","Falsch")))))</f>
      </c>
      <c r="J59" s="198"/>
      <c r="K59" s="222"/>
      <c r="L59" s="200"/>
      <c r="M59" s="15"/>
    </row>
    <row r="60" spans="1:13" ht="15">
      <c r="A60" s="234" t="str">
        <f>IF(Dateneingabe!D8&lt;&gt;"x","","2.")</f>
        <v>2.</v>
      </c>
      <c r="B60" s="234" t="str">
        <f>IF(Dateneingabe!D8&lt;&gt;"x","","Unter Berücksichtigung der Arbeitskosten")</f>
        <v>Unter Berücksichtigung der Arbeitskosten</v>
      </c>
      <c r="D60" s="196"/>
      <c r="H60" s="134"/>
      <c r="I60" s="224">
        <f>IF(Dateneingabe!$D$8&lt;&gt;"x","",IF(AND(D60="",H60=""),"",IF(H60=D60,"Richtig!",IF(AND(D60&lt;&gt;"",H60=F60),"Formel: OK",IF(H60="","Fehlt","Falsch")))))</f>
      </c>
      <c r="J60" s="198"/>
      <c r="K60" s="222"/>
      <c r="L60" s="200"/>
      <c r="M60" s="15"/>
    </row>
    <row r="61" spans="2:13" ht="15">
      <c r="B61" s="235" t="str">
        <f>IF(Dateneingabe!D8&lt;&gt;"x","","Formel")</f>
        <v>Formel</v>
      </c>
      <c r="C61" s="221"/>
      <c r="D61" s="196"/>
      <c r="H61" s="134"/>
      <c r="I61" s="224">
        <f>IF(Dateneingabe!$D$8&lt;&gt;"x","",IF(AND(D61="",H61=""),"",IF(H61=D61,"Richtig!",IF(AND(D61&lt;&gt;"",H61=F61),"Formel: OK",IF(H61="","Fehlt","Falsch")))))</f>
      </c>
      <c r="J61" s="198"/>
      <c r="K61" s="222"/>
      <c r="L61" s="200"/>
      <c r="M61" s="15"/>
    </row>
    <row r="62" spans="2:13" ht="15">
      <c r="B62" s="223" t="str">
        <f>IF(Dateneingabe!D8&lt;&gt;"x","","Fixkosten/Jahr")</f>
        <v>Fixkosten/Jahr</v>
      </c>
      <c r="C62" s="221"/>
      <c r="D62" s="201" t="str">
        <f>IF(Dateneingabe!D8&lt;&gt;"x","",IF(Hilfe!I98="","",Hilfe!I98))</f>
        <v>Fixkosten/Jahr</v>
      </c>
      <c r="E62" s="202"/>
      <c r="F62" s="202" t="s">
        <v>140</v>
      </c>
      <c r="H62" s="203">
        <f>IF(Dateneingabe!D8&lt;&gt;"x","",IF(Berechnung!I57="","",Berechnung!I57))</f>
      </c>
      <c r="I62" s="224" t="str">
        <f>IF(Dateneingabe!$D$8&lt;&gt;"x","",IF(AND(D62="",H62=""),"",IF(H62=D62,"Richtig!",IF(AND(D62&lt;&gt;"",H62=F62),"Formel: OK",IF(H62="","Fehlt","Falsch")))))</f>
        <v>Fehlt</v>
      </c>
      <c r="J62" s="205">
        <f>IF(Dateneingabe!$D$8&lt;&gt;"x","",IF(I62="Richtig!",1,IF(I62="Formel: OK",0.5,IF(OR(I62="Falsch",I62="Fehlt"),0,""))))</f>
        <v>0</v>
      </c>
      <c r="K62" s="222" t="str">
        <f>IF(Dateneingabe!$D$8&lt;&gt;"x","",IF(AND(D62="",H62=""),"","│"))</f>
        <v>│</v>
      </c>
      <c r="L62" s="200">
        <f>IF(Dateneingabe!$D$8&lt;&gt;"x","",IF(AND(D62="",H62=""),"",1))</f>
        <v>1</v>
      </c>
      <c r="M62" s="15"/>
    </row>
    <row r="63" spans="2:13" ht="15">
      <c r="B63" s="223" t="str">
        <f>IF(Dateneingabe!D8&lt;&gt;"x","","MR-Tarif/h")</f>
        <v>MR-Tarif/h</v>
      </c>
      <c r="C63" s="221"/>
      <c r="D63" s="201" t="str">
        <f>IF(Dateneingabe!D8&lt;&gt;"x","",IF(Hilfe!F101="","",Hilfe!F101))</f>
        <v>MR-Tarif/h</v>
      </c>
      <c r="E63" s="202"/>
      <c r="F63" s="202" t="s">
        <v>140</v>
      </c>
      <c r="H63" s="203">
        <f>IF(Dateneingabe!D8&lt;&gt;"x","",IF(Berechnung!F60="","",Berechnung!F60))</f>
      </c>
      <c r="I63" s="224" t="str">
        <f>IF(Dateneingabe!$D$8&lt;&gt;"x","",IF(AND(D63="",H63=""),"",IF(H63=D63,"Richtig!",IF(AND(D63&lt;&gt;"",H63=F63),"Formel: OK",IF(H63="","Fehlt","Falsch")))))</f>
        <v>Fehlt</v>
      </c>
      <c r="J63" s="205">
        <f>IF(Dateneingabe!$D$8&lt;&gt;"x","",IF(I63="Richtig!",1,IF(I63="Formel: OK",0.5,IF(OR(I63="Falsch",I63="Fehlt"),0,""))))</f>
        <v>0</v>
      </c>
      <c r="K63" s="222" t="str">
        <f>IF(Dateneingabe!$D$8&lt;&gt;"x","",IF(AND(D63="",H63=""),"","│"))</f>
        <v>│</v>
      </c>
      <c r="L63" s="200">
        <f>IF(Dateneingabe!$D$8&lt;&gt;"x","",IF(AND(D63="",H63=""),"",1))</f>
        <v>1</v>
      </c>
      <c r="M63" s="15"/>
    </row>
    <row r="64" spans="2:13" ht="15">
      <c r="B64" s="223" t="str">
        <f>IF(Dateneingabe!D8&lt;&gt;"x","","Minus")</f>
        <v>Minus</v>
      </c>
      <c r="C64" s="221"/>
      <c r="D64" s="201" t="str">
        <f>IF(Dateneingabe!D8&lt;&gt;"x","",IF(Hilfe!I101="","",Hilfe!I101))</f>
        <v>−</v>
      </c>
      <c r="E64" s="202"/>
      <c r="F64" s="202" t="s">
        <v>140</v>
      </c>
      <c r="H64" s="203">
        <f>IF(Dateneingabe!D8&lt;&gt;"x","",IF(Berechnung!I60="","",Berechnung!I60))</f>
      </c>
      <c r="I64" s="224" t="str">
        <f>IF(Dateneingabe!$D$8&lt;&gt;"x","",IF(AND(D64="",H64=""),"",IF(H64=D64,"Richtig!",IF(AND(D64&lt;&gt;"",H64=F64),"Formel: OK",IF(H64="","Fehlt","Falsch")))))</f>
        <v>Fehlt</v>
      </c>
      <c r="J64" s="205">
        <f>IF(Dateneingabe!$D$8&lt;&gt;"x","",IF(I64="Richtig!",1,IF(I64="Formel: OK",0.5,IF(OR(I64="Falsch",I64="Fehlt"),0,""))))</f>
        <v>0</v>
      </c>
      <c r="K64" s="222" t="str">
        <f>IF(Dateneingabe!$D$8&lt;&gt;"x","",IF(AND(D64="",H64=""),"","│"))</f>
        <v>│</v>
      </c>
      <c r="L64" s="200">
        <f>IF(Dateneingabe!$D$8&lt;&gt;"x","",IF(AND(D64="",H64=""),"",1))</f>
        <v>1</v>
      </c>
      <c r="M64" s="15"/>
    </row>
    <row r="65" spans="2:13" ht="15">
      <c r="B65" s="223" t="str">
        <f>IF(Dateneingabe!D8&lt;&gt;"x","","Lohnansatz oder …")</f>
        <v>Lohnansatz oder …</v>
      </c>
      <c r="C65" s="221"/>
      <c r="D65" s="201" t="str">
        <f>IF(Dateneingabe!D8&lt;&gt;"x","",IF(Hilfe!K101="","",Hilfe!K101))</f>
        <v>Lohnansatz/h</v>
      </c>
      <c r="E65" s="202"/>
      <c r="F65" s="202" t="s">
        <v>140</v>
      </c>
      <c r="H65" s="203">
        <f>IF(Dateneingabe!D8&lt;&gt;"x","",IF(Berechnung!K60="","",Berechnung!K60))</f>
      </c>
      <c r="I65" s="224" t="str">
        <f>IF(Dateneingabe!D8&lt;&gt;"x","",IF(AND(D65="",H65=""),"",IF(AND(H68&lt;&gt;H65,OR(H65=D65,H65=D66)),"Richtig!",IF(AND(D65&lt;&gt;"",H65=F65),"Formel: OK",IF(H65="","Fehlt","Falsch")))))</f>
        <v>Fehlt</v>
      </c>
      <c r="J65" s="205">
        <f>IF(Dateneingabe!$D$8&lt;&gt;"x","",IF(I65="Richtig!",1,IF(I65="Formel: OK",0.5,IF(OR(I65="Falsch",I65="Fehlt"),0,""))))</f>
        <v>0</v>
      </c>
      <c r="K65" s="222" t="str">
        <f>IF(Dateneingabe!$D$8&lt;&gt;"x","",IF(AND(D65="",H65=""),"","│"))</f>
        <v>│</v>
      </c>
      <c r="L65" s="200">
        <f>IF(Dateneingabe!$D$8&lt;&gt;"x","",IF(AND(D65="",H65=""),"",1))</f>
        <v>1</v>
      </c>
      <c r="M65" s="15"/>
    </row>
    <row r="66" spans="2:13" ht="15">
      <c r="B66" s="223" t="str">
        <f>IF(Dateneingabe!D8&lt;&gt;"x","","… VK/h")</f>
        <v>… VK/h</v>
      </c>
      <c r="C66" s="221"/>
      <c r="D66" s="201" t="str">
        <f>IF(Dateneingabe!D8&lt;&gt;"x","",IF(Hilfe!Q101="","",Hilfe!Q101))</f>
        <v>VK/h</v>
      </c>
      <c r="E66" s="202"/>
      <c r="F66" s="202" t="s">
        <v>140</v>
      </c>
      <c r="H66" s="207">
        <f>IF(H65&lt;&gt;""," ","")</f>
      </c>
      <c r="I66" s="224"/>
      <c r="J66" s="198"/>
      <c r="K66" s="222"/>
      <c r="L66" s="200"/>
      <c r="M66" s="15"/>
    </row>
    <row r="67" spans="2:13" ht="15">
      <c r="B67" s="223" t="str">
        <f>IF(Dateneingabe!D8&lt;&gt;"x","","Plus")</f>
        <v>Plus</v>
      </c>
      <c r="C67" s="221"/>
      <c r="D67" s="201" t="str">
        <f>IF(Dateneingabe!D8&lt;&gt;"x","",IF(Hilfe!O101="","",Hilfe!O101))</f>
        <v>+</v>
      </c>
      <c r="E67" s="202"/>
      <c r="F67" s="202" t="s">
        <v>140</v>
      </c>
      <c r="H67" s="203">
        <f>IF(Dateneingabe!D8&lt;&gt;"x","",IF(Berechnung!O60="","",Berechnung!O60))</f>
      </c>
      <c r="I67" s="224" t="str">
        <f>IF(Dateneingabe!D8&lt;&gt;"x","",IF(AND(D67="",H67=""),"",IF(H67=D67,"Richtig!",IF(AND(D67&lt;&gt;"",H67=F67),"Formel: OK",IF(H67="","Fehlt","Falsch")))))</f>
        <v>Fehlt</v>
      </c>
      <c r="J67" s="205">
        <f>IF(Dateneingabe!$D$8&lt;&gt;"x","",IF(I67="Richtig!",1,IF(I67="Formel: OK",0.5,IF(OR(I67="Falsch",I67="Fehlt"),0,""))))</f>
        <v>0</v>
      </c>
      <c r="K67" s="222" t="str">
        <f>IF(Dateneingabe!$D$8&lt;&gt;"x","",IF(AND(D67="",H67=""),"","│"))</f>
        <v>│</v>
      </c>
      <c r="L67" s="200">
        <f>IF(Dateneingabe!$D$8&lt;&gt;"x","",IF(AND(D67="",H67=""),"",1))</f>
        <v>1</v>
      </c>
      <c r="M67" s="15"/>
    </row>
    <row r="68" spans="2:13" ht="15">
      <c r="B68" s="223" t="str">
        <f>IF(Dateneingabe!D8&lt;&gt;"x","","VK/h oder …")</f>
        <v>VK/h oder …</v>
      </c>
      <c r="C68" s="221"/>
      <c r="D68" s="201" t="str">
        <f>IF(Dateneingabe!D8&lt;&gt;"x","",IF(Hilfe!Q101="","",Hilfe!Q101))</f>
        <v>VK/h</v>
      </c>
      <c r="E68" s="202"/>
      <c r="F68" s="202" t="s">
        <v>140</v>
      </c>
      <c r="H68" s="203">
        <f>IF(Dateneingabe!D8&lt;&gt;"x","",IF(Berechnung!Q60="","",Berechnung!Q60))</f>
      </c>
      <c r="I68" s="224" t="str">
        <f>IF(Dateneingabe!D8&lt;&gt;"x","",IF(AND(D68="",H68=""),"",IF(AND(H68&lt;&gt;H65,OR(H68=D68,H68=D69)),"Richtig!",IF(AND(D68&lt;&gt;"",H68=F68),"Formel: OK",IF(H68="","Fehlt","Falsch")))))</f>
        <v>Fehlt</v>
      </c>
      <c r="J68" s="205">
        <f>IF(Dateneingabe!$D$8&lt;&gt;"x","",IF(I68="Richtig!",1,IF(I68="Formel: OK",0.5,IF(OR(I68="Falsch",I68="Fehlt"),0,""))))</f>
        <v>0</v>
      </c>
      <c r="K68" s="222" t="str">
        <f>IF(Dateneingabe!$D$8&lt;&gt;"x","",IF(AND(D68="",H68=""),"","│"))</f>
        <v>│</v>
      </c>
      <c r="L68" s="200">
        <f>IF(Dateneingabe!$D$8&lt;&gt;"x","",IF(AND(D68="",H68=""),"",1))</f>
        <v>1</v>
      </c>
      <c r="M68" s="15"/>
    </row>
    <row r="69" spans="2:13" ht="15">
      <c r="B69" s="223" t="str">
        <f>IF(Dateneingabe!D8&lt;&gt;"x","","… Lohnansatz/h")</f>
        <v>… Lohnansatz/h</v>
      </c>
      <c r="C69" s="221"/>
      <c r="D69" s="201" t="str">
        <f>IF(Dateneingabe!D8&lt;&gt;"x","",IF(Hilfe!K101="","",Hilfe!K101))</f>
        <v>Lohnansatz/h</v>
      </c>
      <c r="E69" s="202"/>
      <c r="F69" s="202" t="s">
        <v>140</v>
      </c>
      <c r="H69" s="207">
        <f>IF(H68&lt;&gt;""," ","")</f>
      </c>
      <c r="I69" s="224"/>
      <c r="J69" s="198"/>
      <c r="K69" s="222"/>
      <c r="L69" s="200"/>
      <c r="M69" s="15"/>
    </row>
    <row r="70" spans="2:13" ht="15">
      <c r="B70" s="184"/>
      <c r="C70" s="184"/>
      <c r="D70" s="22"/>
      <c r="E70" s="1"/>
      <c r="F70" s="1"/>
      <c r="G70" s="1"/>
      <c r="H70" s="23"/>
      <c r="I70" s="224"/>
      <c r="J70" s="198"/>
      <c r="K70" s="222"/>
      <c r="L70" s="200"/>
      <c r="M70" s="15"/>
    </row>
    <row r="71" spans="2:13" ht="15">
      <c r="B71" s="235" t="str">
        <f>IF(Dateneingabe!D8&lt;&gt;"x","","Rechenansatz")</f>
        <v>Rechenansatz</v>
      </c>
      <c r="C71" s="221"/>
      <c r="D71" s="196"/>
      <c r="H71" s="134"/>
      <c r="I71" s="224"/>
      <c r="J71" s="198"/>
      <c r="K71" s="222"/>
      <c r="L71" s="200"/>
      <c r="M71" s="15"/>
    </row>
    <row r="72" spans="2:13" ht="15">
      <c r="B72" s="223" t="str">
        <f>IF(Dateneingabe!D8&lt;&gt;"x","","Fixkosten/Jahr")</f>
        <v>Fixkosten/Jahr</v>
      </c>
      <c r="C72" s="221"/>
      <c r="D72" s="209">
        <f>IF(Dateneingabe!D8&lt;&gt;"x","",IF(Hilfe!I105="","",Hilfe!I105))</f>
        <v>3689.6666666666665</v>
      </c>
      <c r="E72" s="202"/>
      <c r="F72" s="225" t="str">
        <f>IF(H18="","-",H18)</f>
        <v>-</v>
      </c>
      <c r="H72" s="210">
        <f>IF(Dateneingabe!D8&lt;&gt;"x","",IF(Berechnung!I64="","",Berechnung!I64))</f>
      </c>
      <c r="I72" s="224" t="str">
        <f>IF(Dateneingabe!$D$8&lt;&gt;"x","",IF(AND(D72="",H72=""),"",IF(H72=D72,"Richtig!",IF(AND(D72&lt;&gt;"",H72=F72),"Formel: OK",IF(H72="","Fehlt","Falsch")))))</f>
        <v>Fehlt</v>
      </c>
      <c r="J72" s="205">
        <f>IF(Dateneingabe!$D$8&lt;&gt;"x","",IF(I72="Richtig!",1,IF(I72="Formel: OK",0.5,IF(OR(I72="Falsch",I72="Fehlt"),0,""))))</f>
        <v>0</v>
      </c>
      <c r="K72" s="222" t="str">
        <f>IF(Dateneingabe!$D$8&lt;&gt;"x","",IF(AND(D72="",H72=""),"","│"))</f>
        <v>│</v>
      </c>
      <c r="L72" s="200">
        <f>IF(Dateneingabe!$D$8&lt;&gt;"x","",IF(AND(D72="",H72=""),"",1))</f>
        <v>1</v>
      </c>
      <c r="M72" s="15"/>
    </row>
    <row r="73" spans="2:13" ht="15">
      <c r="B73" s="223" t="str">
        <f>IF(Dateneingabe!D8&lt;&gt;"x","","MR-Tarif/h")</f>
        <v>MR-Tarif/h</v>
      </c>
      <c r="C73" s="221"/>
      <c r="D73" s="201">
        <f>IF(Dateneingabe!D8&lt;&gt;"x","",IF(Hilfe!F108="","",Hilfe!F108))</f>
        <v>42.15</v>
      </c>
      <c r="E73" s="202"/>
      <c r="F73" s="202" t="s">
        <v>140</v>
      </c>
      <c r="H73" s="203">
        <f>IF(Dateneingabe!D8&lt;&gt;"x","",IF(Berechnung!F67="","",Berechnung!F67))</f>
      </c>
      <c r="I73" s="224" t="str">
        <f>IF(Dateneingabe!$D$8&lt;&gt;"x","",IF(AND(D73="",H73=""),"",IF(H73=D73,"Richtig!",IF(AND(D73&lt;&gt;"",H73=F73),"Formel: OK",IF(H73="","Fehlt","Falsch")))))</f>
        <v>Fehlt</v>
      </c>
      <c r="J73" s="205">
        <f>IF(Dateneingabe!$D$8&lt;&gt;"x","",IF(I73="Richtig!",1,IF(I73="Formel: OK",0.5,IF(OR(I73="Falsch",I73="Fehlt"),0,""))))</f>
        <v>0</v>
      </c>
      <c r="K73" s="222" t="str">
        <f>IF(Dateneingabe!$D$8&lt;&gt;"x","",IF(AND(D73="",H73=""),"","│"))</f>
        <v>│</v>
      </c>
      <c r="L73" s="200">
        <f>IF(Dateneingabe!$D$8&lt;&gt;"x","",IF(AND(D73="",H73=""),"",1))</f>
        <v>1</v>
      </c>
      <c r="M73" s="15"/>
    </row>
    <row r="74" spans="2:13" ht="15">
      <c r="B74" s="223" t="str">
        <f>IF(Dateneingabe!D8&lt;&gt;"x","","Lohnansatz oder …")</f>
        <v>Lohnansatz oder …</v>
      </c>
      <c r="C74" s="221"/>
      <c r="D74" s="209">
        <f>IF(Dateneingabe!D8&lt;&gt;"x","",IF(Hilfe!K108="","",Hilfe!K108))</f>
        <v>11</v>
      </c>
      <c r="E74" s="202"/>
      <c r="F74" s="225" t="str">
        <f>IF(H29="","-",H29)</f>
        <v>-</v>
      </c>
      <c r="H74" s="210">
        <f>IF(Dateneingabe!D8&lt;&gt;"x","",IF(Berechnung!K67="","",Berechnung!K67))</f>
      </c>
      <c r="I74" s="224" t="str">
        <f>IF(Dateneingabe!D8&lt;&gt;"x","",IF(AND(D74="",H74=""),"",IF(AND(H76&lt;&gt;H74,OR(H74=D74,H74=D75)),"Richtig!",IF(AND(D74&lt;&gt;"",H74=F74),"Formel: OK",IF(H74="","Fehlt","Falsch")))))</f>
        <v>Fehlt</v>
      </c>
      <c r="J74" s="205">
        <f>IF(Dateneingabe!$D$8&lt;&gt;"x","",IF(I74="Richtig!",1,IF(I74="Formel: OK",0.5,IF(OR(I74="Falsch",I74="Fehlt"),0,""))))</f>
        <v>0</v>
      </c>
      <c r="K74" s="222" t="str">
        <f>IF(Dateneingabe!$D$8&lt;&gt;"x","",IF(AND(D74="",H74=""),"","│"))</f>
        <v>│</v>
      </c>
      <c r="L74" s="200">
        <f>IF(Dateneingabe!$D$8&lt;&gt;"x","",IF(AND(D74="",H74=""),"",1))</f>
        <v>1</v>
      </c>
      <c r="M74" s="15"/>
    </row>
    <row r="75" spans="2:13" ht="15">
      <c r="B75" s="223" t="str">
        <f>IF(Dateneingabe!D8&lt;&gt;"x","","… VK/h")</f>
        <v>… VK/h</v>
      </c>
      <c r="C75" s="184"/>
      <c r="D75" s="209">
        <f>IF(Dateneingabe!D8&lt;&gt;"x","",IF(Hilfe!Q108="","",Hilfe!Q108))</f>
        <v>9.93</v>
      </c>
      <c r="E75" s="202"/>
      <c r="H75" s="23">
        <f>IF(H74&lt;&gt;""," ","")</f>
      </c>
      <c r="I75" s="224"/>
      <c r="J75" s="198"/>
      <c r="K75" s="222"/>
      <c r="L75" s="200"/>
      <c r="M75" s="15"/>
    </row>
    <row r="76" spans="2:13" ht="15">
      <c r="B76" s="223" t="str">
        <f>IF(Dateneingabe!D8&lt;&gt;"x","","VK/h oder …")</f>
        <v>VK/h oder …</v>
      </c>
      <c r="C76" s="184"/>
      <c r="D76" s="209">
        <f>IF(Dateneingabe!D8&lt;&gt;"x","",IF(Hilfe!Q108="","",Hilfe!Q108))</f>
        <v>9.93</v>
      </c>
      <c r="E76" s="202"/>
      <c r="F76" s="225" t="str">
        <f>IF(H29="","-",H29)</f>
        <v>-</v>
      </c>
      <c r="H76" s="210">
        <f>IF(Dateneingabe!D8&lt;&gt;"x","",IF(Berechnung!Q67="","",Berechnung!Q67))</f>
      </c>
      <c r="I76" s="224" t="str">
        <f>IF(Dateneingabe!D8&lt;&gt;"x","",IF(AND(D76="",H76=""),"",IF(AND(H76&lt;&gt;H74,OR(H76=D76,H76=D77)),"Richtig!",IF(AND(D76&lt;&gt;"",H76=F76),"Formel: OK",IF(H76="","Fehlt","Falsch")))))</f>
        <v>Fehlt</v>
      </c>
      <c r="J76" s="205">
        <f>IF(Dateneingabe!$D$8&lt;&gt;"x","",IF(I76="Richtig!",1,IF(I76="Formel: OK",0.5,IF(OR(I76="Falsch",I76="Fehlt"),0,""))))</f>
        <v>0</v>
      </c>
      <c r="K76" s="222" t="str">
        <f>IF(Dateneingabe!$D$8&lt;&gt;"x","",IF(AND(D76="",H76=""),"","│"))</f>
        <v>│</v>
      </c>
      <c r="L76" s="200">
        <f>IF(Dateneingabe!$D$8&lt;&gt;"x","",IF(AND(D76="",H76=""),"",1))</f>
        <v>1</v>
      </c>
      <c r="M76" s="15"/>
    </row>
    <row r="77" spans="2:13" ht="15">
      <c r="B77" s="223" t="str">
        <f>IF(Dateneingabe!D8&lt;&gt;"x","","… Lohnansatz/h")</f>
        <v>… Lohnansatz/h</v>
      </c>
      <c r="C77" s="184"/>
      <c r="D77" s="209">
        <f>IF(Dateneingabe!D8&lt;&gt;"x","",IF(Hilfe!K108="","",Hilfe!K108))</f>
        <v>11</v>
      </c>
      <c r="E77" s="202"/>
      <c r="H77" s="23">
        <f>IF(H76&lt;&gt;""," ","")</f>
      </c>
      <c r="I77" s="224"/>
      <c r="J77" s="198"/>
      <c r="K77" s="222"/>
      <c r="L77" s="200"/>
      <c r="M77" s="15"/>
    </row>
    <row r="78" spans="2:13" ht="15">
      <c r="B78" s="184"/>
      <c r="C78" s="184"/>
      <c r="D78" s="22"/>
      <c r="E78" s="1"/>
      <c r="F78" s="1"/>
      <c r="G78" s="1"/>
      <c r="H78" s="23"/>
      <c r="I78" s="224"/>
      <c r="J78" s="198"/>
      <c r="K78" s="222"/>
      <c r="L78" s="200"/>
      <c r="M78" s="15"/>
    </row>
    <row r="79" spans="2:13" ht="15">
      <c r="B79" s="235" t="str">
        <f>IF(Dateneingabe!D8&lt;&gt;"x","","Ergebnis")</f>
        <v>Ergebnis</v>
      </c>
      <c r="C79" s="221"/>
      <c r="D79" s="196"/>
      <c r="H79" s="134"/>
      <c r="I79" s="224"/>
      <c r="J79" s="198"/>
      <c r="K79" s="222"/>
      <c r="L79" s="200"/>
      <c r="M79" s="15"/>
    </row>
    <row r="80" spans="2:13" ht="15">
      <c r="B80" s="223" t="str">
        <f>IF(Dateneingabe!D8&lt;&gt;"x","","Mindesteinsatzstunden")</f>
        <v>Mindesteinsatzstunden</v>
      </c>
      <c r="C80" s="221"/>
      <c r="D80" s="209">
        <f>IF(Dateneingabe!D8&lt;&gt;"x","",IF(Hilfe!F111="","",Hilfe!F111))</f>
        <v>173.87684574300974</v>
      </c>
      <c r="E80" s="202"/>
      <c r="F80" s="225" t="str">
        <f>IF(OR(H53="",H54="",H55=""),"-",H72/(H73-(H74+H76)))</f>
        <v>-</v>
      </c>
      <c r="H80" s="210">
        <f>IF(Dateneingabe!D8&lt;&gt;"x","",IF(Berechnung!F70="","",Berechnung!F70))</f>
      </c>
      <c r="I80" s="224" t="str">
        <f>IF(Dateneingabe!$D$8&lt;&gt;"x","",IF(AND(D80="",H80=""),"",IF(H80=D80,"Richtig!",IF(AND(D80&lt;&gt;"",H80=F80),"Formel: OK",IF(H80="","Fehlt","Falsch")))))</f>
        <v>Fehlt</v>
      </c>
      <c r="J80" s="205">
        <f>IF(Dateneingabe!$D$8&lt;&gt;"x","",IF(I80="Richtig!",1,IF(I80="Formel: OK",0.5,IF(OR(I80="Falsch",I80="Fehlt"),0,""))))</f>
        <v>0</v>
      </c>
      <c r="K80" s="222" t="str">
        <f>IF(Dateneingabe!$D$8&lt;&gt;"x","",IF(AND(D80="",H80=""),"","│"))</f>
        <v>│</v>
      </c>
      <c r="L80" s="200">
        <f>IF(Dateneingabe!$D$8&lt;&gt;"x","",IF(AND(D80="",H80=""),"",1))</f>
        <v>1</v>
      </c>
      <c r="M80" s="15"/>
    </row>
    <row r="81" spans="4:13" ht="15">
      <c r="D81" s="196"/>
      <c r="I81" s="197"/>
      <c r="J81" s="198"/>
      <c r="K81" s="199"/>
      <c r="L81" s="200"/>
      <c r="M81" s="15"/>
    </row>
    <row r="82" spans="1:13" ht="15">
      <c r="A82" s="226" t="str">
        <f>IF(Dateneingabe!D8&lt;&gt;"x","","Gesamtpunktezahl")</f>
        <v>Gesamtpunktezahl</v>
      </c>
      <c r="B82" s="227"/>
      <c r="C82" s="227"/>
      <c r="D82" s="227"/>
      <c r="E82" s="227"/>
      <c r="F82" s="227"/>
      <c r="G82" s="227"/>
      <c r="H82" s="227"/>
      <c r="I82" s="228"/>
      <c r="J82" s="229">
        <f>IF(Dateneingabe!D8&lt;&gt;"x","",SUM(J47:J80))</f>
        <v>0</v>
      </c>
      <c r="K82" s="230" t="str">
        <f>IF(Dateneingabe!D8&lt;&gt;"x","","│")</f>
        <v>│</v>
      </c>
      <c r="L82" s="228">
        <f>IF(Dateneingabe!D8&lt;&gt;"x","",SUM(L47:L80))</f>
        <v>19</v>
      </c>
      <c r="M82" s="15"/>
    </row>
    <row r="83" spans="1:13" ht="3" customHeight="1">
      <c r="A83" s="231"/>
      <c r="B83" s="231"/>
      <c r="C83" s="231"/>
      <c r="D83" s="231"/>
      <c r="E83" s="231"/>
      <c r="F83" s="231"/>
      <c r="G83" s="232"/>
      <c r="H83" s="232"/>
      <c r="I83" s="232"/>
      <c r="J83" s="231"/>
      <c r="K83" s="231"/>
      <c r="L83" s="233"/>
      <c r="M83" s="15"/>
    </row>
    <row r="84" ht="15">
      <c r="M84" s="15"/>
    </row>
    <row r="85" spans="1:13" ht="22.5">
      <c r="A85" s="211" t="str">
        <f>IF(Dateneingabe!D8&lt;&gt;"x","","Note")</f>
        <v>Note</v>
      </c>
      <c r="B85" s="15"/>
      <c r="C85" s="323">
        <f>IF(Dateneingabe!D8&lt;&gt;"x","",J82/L82)</f>
        <v>0</v>
      </c>
      <c r="D85" s="323"/>
      <c r="E85" s="323"/>
      <c r="F85" s="323"/>
      <c r="G85" s="323"/>
      <c r="H85" s="323"/>
      <c r="I85" s="212"/>
      <c r="J85" s="212"/>
      <c r="K85" s="212"/>
      <c r="L85" s="212"/>
      <c r="M85" s="15"/>
    </row>
    <row r="86" spans="1:13" ht="23.25">
      <c r="A86" s="214"/>
      <c r="B86" s="215">
        <f>IF(Dateneingabe!D8&lt;&gt;"x","",C86-C100)</f>
        <v>18</v>
      </c>
      <c r="C86" s="216">
        <f>IF(Dateneingabe!D8&lt;&gt;"x","",L82)</f>
        <v>19</v>
      </c>
      <c r="D86" s="217" t="str">
        <f>IF(Dateneingabe!D8&lt;&gt;"x","",IF(AND(J82&gt;=B86-0.5,J82&lt;=C86),"u","j"))</f>
        <v>j</v>
      </c>
      <c r="E86" s="24">
        <f>IF(OR(J82=B86-0.5,J82=B86),"-","")</f>
      </c>
      <c r="I86" s="218"/>
      <c r="J86" s="219"/>
      <c r="K86" s="218"/>
      <c r="M86" s="15"/>
    </row>
    <row r="87" spans="1:13" ht="23.25">
      <c r="A87" s="214"/>
      <c r="B87" s="215">
        <f>IF(Dateneingabe!D8&lt;&gt;"x","",C87-C100-1)</f>
        <v>15</v>
      </c>
      <c r="C87" s="220">
        <f>IF(Dateneingabe!D8&lt;&gt;"x","",B86-1)</f>
        <v>17</v>
      </c>
      <c r="D87" s="217" t="str">
        <f>IF(Dateneingabe!D8&lt;&gt;"x","",IF(AND(J82&gt;=B87-0.5,J82&lt;=C87),"v","k"))</f>
        <v>k</v>
      </c>
      <c r="E87" s="24">
        <f>IF(OR(J82=B87-0.5,J82=B87),"-",IF(OR(J82=C87-0.5,J82=C87),"+",""))</f>
      </c>
      <c r="I87" s="218"/>
      <c r="J87" s="219"/>
      <c r="K87" s="218"/>
      <c r="M87" s="15"/>
    </row>
    <row r="88" spans="1:13" ht="23.25">
      <c r="A88" s="214"/>
      <c r="B88" s="215">
        <f>IF(Dateneingabe!D8&lt;&gt;"x","",C88-C100-1)</f>
        <v>12</v>
      </c>
      <c r="C88" s="220">
        <f>IF(Dateneingabe!D8&lt;&gt;"x","",B87-1)</f>
        <v>14</v>
      </c>
      <c r="D88" s="217" t="str">
        <f>IF(Dateneingabe!D8&lt;&gt;"x","",IF(AND(J82&gt;=B88-0.5,J82&lt;=C88),"w","l"))</f>
        <v>l</v>
      </c>
      <c r="E88" s="24">
        <f>IF(OR(J82=B88-0.5,J82=B88),"-",IF(OR(J82=C88-0.5,J82=C88),"+",""))</f>
      </c>
      <c r="I88" s="218"/>
      <c r="J88" s="219"/>
      <c r="K88" s="218"/>
      <c r="M88" s="15"/>
    </row>
    <row r="89" spans="1:13" ht="23.25">
      <c r="A89" s="214"/>
      <c r="B89" s="215">
        <f>IF(Dateneingabe!D8&lt;&gt;"x","",C89-C100-1)</f>
        <v>9</v>
      </c>
      <c r="C89" s="220">
        <f>IF(Dateneingabe!D8&lt;&gt;"x","",B88-1)</f>
        <v>11</v>
      </c>
      <c r="D89" s="217" t="str">
        <f>IF(Dateneingabe!D8&lt;&gt;"x","",IF(AND(J82&gt;=B89-0.5,J82&lt;=C89),"x","m"))</f>
        <v>m</v>
      </c>
      <c r="E89" s="24">
        <f>IF(OR(J82=B89-0.5,J82=B89),"-",IF(OR(J82=C89-0.5,J82=C89),"+",""))</f>
      </c>
      <c r="F89" s="236"/>
      <c r="K89" s="218"/>
      <c r="M89" s="15"/>
    </row>
    <row r="90" spans="1:13" ht="23.25">
      <c r="A90" s="214"/>
      <c r="B90" s="215">
        <f>IF(Dateneingabe!D8&lt;&gt;"x","",0)</f>
        <v>0</v>
      </c>
      <c r="C90" s="220">
        <f>IF(Dateneingabe!D8&lt;&gt;"x","",B89-1)</f>
        <v>8</v>
      </c>
      <c r="D90" s="217" t="str">
        <f>IF(Dateneingabe!D8&lt;&gt;"x","",IF(AND(J82&gt;=B90-0.5,J82&lt;=C90),"y","n"))</f>
        <v>y</v>
      </c>
      <c r="E90" s="24">
        <f>IF(OR(J82=C90-1,J82=C90-0.5,J82=C90),"+","")</f>
      </c>
      <c r="F90" s="237"/>
      <c r="G90" s="237"/>
      <c r="K90" s="218"/>
      <c r="M90" s="15"/>
    </row>
    <row r="91" spans="1:13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ht="15" hidden="1"/>
    <row r="93" ht="15" hidden="1">
      <c r="B93" s="7" t="s">
        <v>136</v>
      </c>
    </row>
    <row r="94" spans="2:8" ht="15" hidden="1">
      <c r="B94" s="227"/>
      <c r="C94" s="227"/>
      <c r="D94" s="227">
        <f>COUNT(D9:D30)</f>
        <v>14</v>
      </c>
      <c r="E94" s="322"/>
      <c r="F94" s="322"/>
      <c r="G94" s="322"/>
      <c r="H94" s="227">
        <f>COUNT(H9:H30)</f>
        <v>0</v>
      </c>
    </row>
    <row r="95" spans="2:4" ht="15" hidden="1">
      <c r="B95" s="240" t="s">
        <v>57</v>
      </c>
      <c r="C95" s="238">
        <v>0.07</v>
      </c>
      <c r="D95" s="237"/>
    </row>
    <row r="96" spans="2:4" ht="15" hidden="1">
      <c r="B96" s="237"/>
      <c r="C96" s="324">
        <f>ROUND(L32*C95,0)</f>
        <v>1</v>
      </c>
      <c r="D96" s="324"/>
    </row>
    <row r="97" spans="2:8" ht="15" hidden="1">
      <c r="B97" s="7" t="s">
        <v>135</v>
      </c>
      <c r="H97" s="152" t="str">
        <f>IF(Dateneingabe!D8="","",Dateneingabe!D8)</f>
        <v>x</v>
      </c>
    </row>
    <row r="98" spans="2:8" ht="15" hidden="1">
      <c r="B98" s="227"/>
      <c r="C98" s="227"/>
      <c r="D98" s="242">
        <f>ROWS(D47:D80)-COUNTBLANK(D47:D80)</f>
        <v>23</v>
      </c>
      <c r="E98" s="322"/>
      <c r="F98" s="322"/>
      <c r="G98" s="322"/>
      <c r="H98" s="227">
        <f>ROWS(H47:H80)-COUNTBLANK(H47:H80)</f>
        <v>0</v>
      </c>
    </row>
    <row r="99" spans="2:4" ht="15" hidden="1">
      <c r="B99" s="240" t="s">
        <v>139</v>
      </c>
      <c r="C99" s="238">
        <v>0.07</v>
      </c>
      <c r="D99" s="239"/>
    </row>
    <row r="100" spans="2:4" ht="15" hidden="1">
      <c r="B100" s="237"/>
      <c r="C100" s="324">
        <f>ROUND(L82*C99,0)</f>
        <v>1</v>
      </c>
      <c r="D100" s="324"/>
    </row>
  </sheetData>
  <sheetProtection sheet="1" objects="1" scenarios="1" selectLockedCells="1" selectUnlockedCells="1"/>
  <mergeCells count="10">
    <mergeCell ref="E98:G98"/>
    <mergeCell ref="C85:H85"/>
    <mergeCell ref="C100:D100"/>
    <mergeCell ref="J44:L44"/>
    <mergeCell ref="A2:L2"/>
    <mergeCell ref="C96:D96"/>
    <mergeCell ref="C35:H35"/>
    <mergeCell ref="J7:L7"/>
    <mergeCell ref="E94:G94"/>
    <mergeCell ref="A43:L43"/>
  </mergeCells>
  <conditionalFormatting sqref="K81:L90 E83:F90 A3:C40 D33:D35 D53:H53 E33:E40 K3:L40 F33:H38 G90 I81:J88 G83:H88 D55:H55 D58:H58 F80 F70:F72 G70:H80 E70:E80 D59:E59 G59:H59 D62:D81 D83:D85 A81:C90 E81:H81 F76 F74 D82:H82 A44:L44 I3:J38 D3:H32">
    <cfRule type="expression" priority="135" dxfId="36" stopIfTrue="1">
      <formula>$A$2="Du musst zuerst alle Berechnungen durchführen, um das                                     Ergebnis ansehen zu können!"</formula>
    </cfRule>
  </conditionalFormatting>
  <conditionalFormatting sqref="D36 D86">
    <cfRule type="expression" priority="136" dxfId="36" stopIfTrue="1">
      <formula>$A$2="Du musst zuerst alle Berechnungen durchführen, um das                                     Ergebnis ansehen zu können!"</formula>
    </cfRule>
    <cfRule type="cellIs" priority="137" dxfId="34" operator="equal" stopIfTrue="1">
      <formula>"u"</formula>
    </cfRule>
  </conditionalFormatting>
  <conditionalFormatting sqref="D37 D87">
    <cfRule type="expression" priority="138" dxfId="36" stopIfTrue="1">
      <formula>$A$2="Du musst zuerst alle Berechnungen durchführen, um das                                     Ergebnis ansehen zu können!"</formula>
    </cfRule>
    <cfRule type="cellIs" priority="139" dxfId="34" operator="equal" stopIfTrue="1">
      <formula>"v"</formula>
    </cfRule>
  </conditionalFormatting>
  <conditionalFormatting sqref="D38 D88">
    <cfRule type="expression" priority="140" dxfId="36" stopIfTrue="1">
      <formula>$A$2="Du musst zuerst alle Berechnungen durchführen, um das                                     Ergebnis ansehen zu können!"</formula>
    </cfRule>
    <cfRule type="cellIs" priority="141" dxfId="34" operator="equal" stopIfTrue="1">
      <formula>"w"</formula>
    </cfRule>
  </conditionalFormatting>
  <conditionalFormatting sqref="D39 D89">
    <cfRule type="expression" priority="142" dxfId="36" stopIfTrue="1">
      <formula>$A$2="Du musst zuerst alle Berechnungen durchführen, um das                                     Ergebnis ansehen zu können!"</formula>
    </cfRule>
    <cfRule type="cellIs" priority="143" dxfId="34" operator="equal" stopIfTrue="1">
      <formula>"x"</formula>
    </cfRule>
  </conditionalFormatting>
  <conditionalFormatting sqref="D40 D90">
    <cfRule type="expression" priority="144" dxfId="36" stopIfTrue="1">
      <formula>$A$2="Du musst zuerst alle Berechnungen durchführen, um das                                     Ergebnis ansehen zu können!"</formula>
    </cfRule>
    <cfRule type="cellIs" priority="145" dxfId="34" operator="equal" stopIfTrue="1">
      <formula>"y"</formula>
    </cfRule>
  </conditionalFormatting>
  <conditionalFormatting sqref="A43:L43 A2:L2">
    <cfRule type="expression" priority="146" dxfId="37" stopIfTrue="1">
      <formula>$A$43="Du musst zuerst alle Berechnungen durchführen, um das                                     Ergebnis ansehen zu können!"</formula>
    </cfRule>
  </conditionalFormatting>
  <conditionalFormatting sqref="B58 D60:H60">
    <cfRule type="expression" priority="91" dxfId="38" stopIfTrue="1">
      <formula>$A$2&lt;&gt;""</formula>
    </cfRule>
  </conditionalFormatting>
  <conditionalFormatting sqref="A42:L90">
    <cfRule type="expression" priority="2" dxfId="33" stopIfTrue="1">
      <formula>$H$97&lt;&gt;"x"</formula>
    </cfRule>
  </conditionalFormatting>
  <conditionalFormatting sqref="A44:E90 G44:L90 F76:F90 F44:F74">
    <cfRule type="expression" priority="4" dxfId="39" stopIfTrue="1">
      <formula>$A$43&lt;&gt;""</formula>
    </cfRule>
  </conditionalFormatting>
  <printOptions/>
  <pageMargins left="0.7874015748031497" right="0.7874015748031497" top="0.5905511811023623" bottom="0.1968503937007874" header="0.5118110236220472" footer="0.31496062992125984"/>
  <pageSetup blackAndWhite="1" horizontalDpi="600" verticalDpi="600" orientation="portrait" paperSize="9" scale="90" r:id="rId2"/>
  <headerFooter alignWithMargins="0">
    <oddFooter>&amp;L&amp;6© Mag. Wolfgang Harasleben</oddFooter>
  </headerFooter>
  <rowBreaks count="1" manualBreakCount="1">
    <brk id="41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tabColor rgb="FF0000FF"/>
  </sheetPr>
  <dimension ref="A1:AC113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customHeight="1" zeroHeight="1"/>
  <cols>
    <col min="1" max="1" width="1.77734375" style="0" customWidth="1"/>
    <col min="2" max="2" width="0.88671875" style="0" customWidth="1"/>
    <col min="3" max="7" width="5.77734375" style="0" customWidth="1"/>
    <col min="8" max="8" width="0.88671875" style="0" customWidth="1"/>
    <col min="9" max="9" width="5.77734375" style="0" customWidth="1"/>
    <col min="10" max="10" width="0.88671875" style="0" customWidth="1"/>
    <col min="11" max="11" width="5.77734375" style="0" customWidth="1"/>
    <col min="12" max="12" width="0.88671875" style="0" customWidth="1"/>
    <col min="13" max="13" width="5.77734375" style="0" customWidth="1"/>
    <col min="14" max="14" width="0.88671875" style="0" customWidth="1"/>
    <col min="15" max="15" width="5.77734375" style="0" customWidth="1"/>
    <col min="16" max="16" width="0.88671875" style="0" customWidth="1"/>
    <col min="17" max="18" width="5.77734375" style="0" customWidth="1"/>
    <col min="19" max="19" width="0.88671875" style="0" customWidth="1"/>
    <col min="20" max="21" width="2.77734375" style="0" customWidth="1"/>
    <col min="22" max="22" width="3.77734375" style="0" customWidth="1"/>
    <col min="23" max="25" width="10.77734375" style="0" customWidth="1"/>
    <col min="26" max="26" width="13.77734375" style="0" customWidth="1"/>
    <col min="27" max="27" width="2.77734375" style="0" customWidth="1"/>
    <col min="28" max="28" width="0.88671875" style="0" customWidth="1"/>
    <col min="29" max="29" width="37.77734375" style="0" customWidth="1"/>
    <col min="30" max="16384" width="11.4453125" style="0" hidden="1" customWidth="1"/>
  </cols>
  <sheetData>
    <row r="1" spans="1:29" ht="30" customHeight="1">
      <c r="A1" s="172" t="str">
        <f>"Maschinenkostenrechnung: "&amp;CONCATENATE(Dateneingabe!C6," - ",Dateneingabe!C10)</f>
        <v>Maschinenkostenrechnung: Allradtraktor - 45 KW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7"/>
      <c r="M1" s="67"/>
      <c r="N1" s="67"/>
      <c r="O1" s="64"/>
      <c r="P1" s="64"/>
      <c r="Q1" s="64"/>
      <c r="R1" s="64"/>
      <c r="S1" s="64"/>
      <c r="T1" s="64"/>
      <c r="U1" s="351" t="s">
        <v>65</v>
      </c>
      <c r="V1" s="351"/>
      <c r="W1" s="351"/>
      <c r="X1" s="351"/>
      <c r="Y1" s="351"/>
      <c r="Z1" s="351"/>
      <c r="AA1" s="351"/>
      <c r="AB1" s="351"/>
      <c r="AC1" s="45" t="s">
        <v>66</v>
      </c>
    </row>
    <row r="2" spans="1:29" ht="30" customHeight="1" thickBot="1">
      <c r="A2" s="6"/>
      <c r="B2" s="6"/>
      <c r="C2" s="6"/>
      <c r="D2" s="6"/>
      <c r="E2" s="6"/>
      <c r="F2" s="6"/>
      <c r="G2" s="6"/>
      <c r="H2" s="26"/>
      <c r="I2" s="26"/>
      <c r="J2" s="26"/>
      <c r="K2" s="26"/>
      <c r="L2" s="6"/>
      <c r="M2" s="6"/>
      <c r="N2" s="6"/>
      <c r="O2" s="6"/>
      <c r="P2" s="6"/>
      <c r="Q2" s="6"/>
      <c r="R2" s="6"/>
      <c r="S2" s="6"/>
      <c r="T2" s="6"/>
      <c r="U2" s="15"/>
      <c r="V2" s="18"/>
      <c r="W2" s="18"/>
      <c r="X2" s="18"/>
      <c r="Y2" s="18"/>
      <c r="Z2" s="18"/>
      <c r="AA2" s="18"/>
      <c r="AB2" s="18"/>
      <c r="AC2" s="1"/>
    </row>
    <row r="3" spans="1:29" ht="16.5" customHeight="1" thickBot="1">
      <c r="A3" s="6"/>
      <c r="B3" s="1"/>
      <c r="C3" s="1"/>
      <c r="D3" s="1"/>
      <c r="E3" s="1"/>
      <c r="F3" s="1"/>
      <c r="G3" s="16" t="s">
        <v>32</v>
      </c>
      <c r="H3" s="303" t="s">
        <v>33</v>
      </c>
      <c r="I3" s="304"/>
      <c r="J3" s="304"/>
      <c r="K3" s="305"/>
      <c r="L3" s="1"/>
      <c r="M3" s="1"/>
      <c r="N3" s="1"/>
      <c r="O3" s="1"/>
      <c r="P3" s="1"/>
      <c r="Q3" s="1"/>
      <c r="R3" s="1"/>
      <c r="S3" s="1"/>
      <c r="T3" s="6"/>
      <c r="U3" s="15"/>
      <c r="V3" s="58"/>
      <c r="W3" s="18"/>
      <c r="X3" s="18"/>
      <c r="Y3" s="18"/>
      <c r="Z3" s="18"/>
      <c r="AA3" s="18"/>
      <c r="AB3" s="18"/>
      <c r="AC3" s="4"/>
    </row>
    <row r="4" spans="1:29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7"/>
      <c r="V4" s="18"/>
      <c r="W4" s="18"/>
      <c r="X4" s="18"/>
      <c r="Y4" s="18"/>
      <c r="Z4" s="18"/>
      <c r="AA4" s="18"/>
      <c r="AB4" s="18"/>
      <c r="AC4" s="4"/>
    </row>
    <row r="5" spans="1:29" ht="19.5" customHeight="1">
      <c r="A5" s="8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17"/>
      <c r="V5" s="55" t="s">
        <v>67</v>
      </c>
      <c r="W5" s="52"/>
      <c r="X5" s="52"/>
      <c r="Y5" s="52"/>
      <c r="Z5" s="52"/>
      <c r="AA5" s="53"/>
      <c r="AB5" s="18"/>
      <c r="AC5" s="92"/>
    </row>
    <row r="6" spans="1:29" ht="19.5" customHeight="1">
      <c r="A6" s="8"/>
      <c r="B6" s="2" t="s">
        <v>1</v>
      </c>
      <c r="C6" s="2"/>
      <c r="D6" s="2"/>
      <c r="E6" s="2"/>
      <c r="F6" s="2"/>
      <c r="G6" s="2"/>
      <c r="H6" s="300">
        <f>IF(Dateneingabe!C12="","",Dateneingabe!C12)</f>
        <v>32500</v>
      </c>
      <c r="I6" s="301"/>
      <c r="J6" s="301"/>
      <c r="K6" s="343"/>
      <c r="L6" s="122" t="s">
        <v>93</v>
      </c>
      <c r="M6" s="122"/>
      <c r="N6" s="122"/>
      <c r="O6" s="169">
        <f>IF(H16="","",H16/$H$10)</f>
        <v>180.55555555555554</v>
      </c>
      <c r="P6" s="169"/>
      <c r="Q6" s="169"/>
      <c r="R6" s="169"/>
      <c r="S6" s="119"/>
      <c r="T6" s="8"/>
      <c r="U6" s="17"/>
      <c r="V6" s="47" t="str">
        <f>V5&amp;"  =  aktuelles Jahr  -  Anschaffungsjahr"</f>
        <v>Alter  =  aktuelles Jahr  -  Anschaffungsjahr</v>
      </c>
      <c r="W6" s="46"/>
      <c r="X6" s="46"/>
      <c r="Y6" s="46"/>
      <c r="Z6" s="46"/>
      <c r="AA6" s="48"/>
      <c r="AB6" s="18"/>
      <c r="AC6" s="171"/>
    </row>
    <row r="7" spans="1:29" ht="19.5" customHeight="1">
      <c r="A7" s="8"/>
      <c r="B7" s="2" t="s">
        <v>2</v>
      </c>
      <c r="C7" s="2"/>
      <c r="D7" s="2"/>
      <c r="E7" s="2"/>
      <c r="F7" s="2"/>
      <c r="G7" s="2"/>
      <c r="H7" s="297">
        <f>IF(Dateneingabe!C14="","",Dateneingabe!C14)</f>
        <v>2002</v>
      </c>
      <c r="I7" s="298"/>
      <c r="J7" s="298"/>
      <c r="K7" s="342"/>
      <c r="L7" s="123" t="s">
        <v>94</v>
      </c>
      <c r="M7" s="123"/>
      <c r="N7" s="123"/>
      <c r="O7" s="168">
        <f>IF(H17="","",H17/$H$10)</f>
        <v>18.583333333333332</v>
      </c>
      <c r="P7" s="168"/>
      <c r="Q7" s="168"/>
      <c r="R7" s="168"/>
      <c r="S7" s="120"/>
      <c r="T7" s="8"/>
      <c r="U7" s="17"/>
      <c r="V7" s="49" t="str">
        <f>IF(OR(V5="",G11="",H7=""),"",V5&amp;"  =  "&amp;G11&amp;"  -  "&amp;H7&amp;"  =  "&amp;G11-H7&amp;" Jahre")</f>
        <v>Alter  =  2014  -  2002  =  12 Jahre</v>
      </c>
      <c r="W7" s="50"/>
      <c r="X7" s="50"/>
      <c r="Y7" s="50"/>
      <c r="Z7" s="50"/>
      <c r="AA7" s="51"/>
      <c r="AB7" s="18"/>
      <c r="AC7" s="171"/>
    </row>
    <row r="8" spans="1:29" ht="19.5" customHeight="1">
      <c r="A8" s="8"/>
      <c r="B8" s="2" t="s">
        <v>3</v>
      </c>
      <c r="C8" s="2"/>
      <c r="D8" s="2"/>
      <c r="E8" s="2"/>
      <c r="F8" s="2"/>
      <c r="G8" s="2"/>
      <c r="H8" s="287">
        <f>IF(Dateneingabe!C16="","",Dateneingabe!C16)</f>
        <v>15</v>
      </c>
      <c r="I8" s="288"/>
      <c r="J8" s="288"/>
      <c r="K8" s="357"/>
      <c r="L8" s="123" t="s">
        <v>95</v>
      </c>
      <c r="M8" s="123"/>
      <c r="N8" s="123"/>
      <c r="O8" s="168">
        <f>IF(H18="","",H18/$H$10)</f>
        <v>27.083333333333332</v>
      </c>
      <c r="P8" s="168"/>
      <c r="Q8" s="168"/>
      <c r="R8" s="168"/>
      <c r="S8" s="120"/>
      <c r="T8" s="8"/>
      <c r="U8" s="17"/>
      <c r="V8" s="18"/>
      <c r="W8" s="18"/>
      <c r="X8" s="18"/>
      <c r="Y8" s="18"/>
      <c r="Z8" s="18"/>
      <c r="AA8" s="18"/>
      <c r="AB8" s="18"/>
      <c r="AC8" s="171"/>
    </row>
    <row r="9" spans="1:29" ht="19.5" customHeight="1" thickBot="1">
      <c r="A9" s="8"/>
      <c r="B9" s="54" t="s">
        <v>68</v>
      </c>
      <c r="C9" s="54"/>
      <c r="D9" s="54"/>
      <c r="E9" s="54"/>
      <c r="F9" s="54"/>
      <c r="G9" s="2"/>
      <c r="H9" s="284">
        <f>IF(Dateneingabe!F14="","",Dateneingabe!F14)</f>
        <v>122</v>
      </c>
      <c r="I9" s="285"/>
      <c r="J9" s="285"/>
      <c r="K9" s="356"/>
      <c r="L9" s="123" t="s">
        <v>96</v>
      </c>
      <c r="M9" s="123"/>
      <c r="N9" s="123"/>
      <c r="O9" s="168">
        <f>IF(H19="","",H19/$H$10)</f>
        <v>81.25</v>
      </c>
      <c r="P9" s="168"/>
      <c r="Q9" s="168"/>
      <c r="R9" s="168"/>
      <c r="S9" s="120"/>
      <c r="T9" s="8"/>
      <c r="U9" s="17"/>
      <c r="V9" s="55" t="s">
        <v>69</v>
      </c>
      <c r="W9" s="52"/>
      <c r="X9" s="52"/>
      <c r="Y9" s="52"/>
      <c r="Z9" s="52"/>
      <c r="AA9" s="53"/>
      <c r="AB9" s="18"/>
      <c r="AC9" s="171"/>
    </row>
    <row r="10" spans="1:29" ht="19.5" customHeight="1" thickBot="1">
      <c r="A10" s="8"/>
      <c r="B10" s="2" t="s">
        <v>60</v>
      </c>
      <c r="C10" s="2"/>
      <c r="D10" s="2"/>
      <c r="E10" s="2"/>
      <c r="F10" s="2"/>
      <c r="G10" s="2"/>
      <c r="H10" s="353">
        <f>IF(OR(G11="",H7=""),"",G11-H7)</f>
        <v>12</v>
      </c>
      <c r="I10" s="354"/>
      <c r="J10" s="354"/>
      <c r="K10" s="355"/>
      <c r="L10" s="123" t="s">
        <v>97</v>
      </c>
      <c r="M10" s="123"/>
      <c r="N10" s="123"/>
      <c r="O10" s="168">
        <f>IF(O38="","",O38/$H$10)</f>
        <v>74.52166666666666</v>
      </c>
      <c r="P10" s="168"/>
      <c r="Q10" s="168"/>
      <c r="R10" s="168"/>
      <c r="S10" s="120"/>
      <c r="T10" s="8"/>
      <c r="U10" s="17"/>
      <c r="V10" s="47" t="s">
        <v>70</v>
      </c>
      <c r="W10" s="57" t="str">
        <f>IF(H10&gt;=H8,"=    Maschine ist abgeschrieben → Erinnerungswert!!!","=  Anschaffungswert  -  jährliche Afa  x  Alter")</f>
        <v>=  Anschaffungswert  -  jährliche Afa  x  Alter</v>
      </c>
      <c r="X10" s="46"/>
      <c r="Y10" s="46"/>
      <c r="Z10" s="46"/>
      <c r="AA10" s="48"/>
      <c r="AB10" s="18"/>
      <c r="AC10" s="171"/>
    </row>
    <row r="11" spans="1:29" ht="19.5" customHeight="1" thickBot="1">
      <c r="A11" s="8"/>
      <c r="B11" s="2" t="s">
        <v>4</v>
      </c>
      <c r="C11" s="2"/>
      <c r="D11" s="2"/>
      <c r="E11" s="2"/>
      <c r="F11" s="2"/>
      <c r="G11" s="25">
        <f>IF(Dateneingabe!F16="","",Dateneingabe!F16)</f>
        <v>2014</v>
      </c>
      <c r="H11" s="347">
        <f>IF(OR(H6="",H8="",H10="",H16=""),"",IF(H10&gt;=H8,1,H6-H16*H10))</f>
        <v>6500</v>
      </c>
      <c r="I11" s="348"/>
      <c r="J11" s="348"/>
      <c r="K11" s="349"/>
      <c r="L11" s="124" t="s">
        <v>98</v>
      </c>
      <c r="M11" s="124"/>
      <c r="N11" s="124"/>
      <c r="O11" s="170">
        <f>IF(O39="","",O39/$H$10)</f>
        <v>26.433333333333334</v>
      </c>
      <c r="P11" s="170"/>
      <c r="Q11" s="170"/>
      <c r="R11" s="170"/>
      <c r="S11" s="121"/>
      <c r="T11" s="8"/>
      <c r="U11" s="17"/>
      <c r="V11" s="49" t="str">
        <f>IF(W11="","","ZW1.1.")</f>
        <v>ZW1.1.</v>
      </c>
      <c r="W11" s="56" t="str">
        <f>IF(OR(H10="",H8="",H6="",H16=""),"",IF(H10&gt;=H8,"=  1,00 €","=  "&amp;FIXED(H6,2)&amp;" €  -  "&amp;FIXED(H16,2)&amp;" €  x  "&amp;FIXED(H10,0)&amp;"  =  "&amp;FIXED(H6-H16*H10,2)&amp;" €"))</f>
        <v>=  32 500,00 €  -  2 166,67 €  x  12  =  6 500,00 €</v>
      </c>
      <c r="X11" s="50"/>
      <c r="Y11" s="50"/>
      <c r="Z11" s="50"/>
      <c r="AA11" s="51"/>
      <c r="AB11" s="18"/>
      <c r="AC11" s="171"/>
    </row>
    <row r="12" spans="1:29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5"/>
      <c r="V12" s="18"/>
      <c r="W12" s="18"/>
      <c r="X12" s="18"/>
      <c r="Y12" s="18"/>
      <c r="Z12" s="18"/>
      <c r="AA12" s="18"/>
      <c r="AB12" s="18"/>
      <c r="AC12" s="171"/>
    </row>
    <row r="13" spans="1:29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8"/>
      <c r="W13" s="18"/>
      <c r="X13" s="18"/>
      <c r="Y13" s="18"/>
      <c r="Z13" s="18"/>
      <c r="AA13" s="18"/>
      <c r="AB13" s="18"/>
      <c r="AC13" s="171"/>
    </row>
    <row r="14" spans="1:29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5"/>
      <c r="V14" s="18"/>
      <c r="W14" s="18"/>
      <c r="X14" s="18"/>
      <c r="Y14" s="18"/>
      <c r="Z14" s="18"/>
      <c r="AA14" s="18"/>
      <c r="AB14" s="18"/>
      <c r="AC14" s="171"/>
    </row>
    <row r="15" spans="1:29" ht="19.5" customHeight="1" thickBot="1">
      <c r="A15" s="8"/>
      <c r="B15" s="3" t="s">
        <v>5</v>
      </c>
      <c r="C15" s="3"/>
      <c r="D15" s="3"/>
      <c r="E15" s="3"/>
      <c r="F15" s="3"/>
      <c r="G15" s="19" t="s">
        <v>31</v>
      </c>
      <c r="H15" s="19" t="s">
        <v>28</v>
      </c>
      <c r="I15" s="19"/>
      <c r="J15" s="19"/>
      <c r="K15" s="19"/>
      <c r="L15" s="20"/>
      <c r="M15" s="20"/>
      <c r="N15" s="20"/>
      <c r="O15" s="19" t="s">
        <v>34</v>
      </c>
      <c r="P15" s="19"/>
      <c r="Q15" s="19"/>
      <c r="R15" s="19"/>
      <c r="S15" s="19"/>
      <c r="T15" s="8"/>
      <c r="U15" s="17"/>
      <c r="V15" s="55" t="s">
        <v>19</v>
      </c>
      <c r="W15" s="52"/>
      <c r="X15" s="52"/>
      <c r="Y15" s="52"/>
      <c r="Z15" s="52"/>
      <c r="AA15" s="53"/>
      <c r="AB15" s="18"/>
      <c r="AC15" s="171"/>
    </row>
    <row r="16" spans="1:29" ht="19.5" customHeight="1" thickBot="1">
      <c r="A16" s="8"/>
      <c r="B16" s="2" t="s">
        <v>19</v>
      </c>
      <c r="C16" s="2"/>
      <c r="D16" s="2"/>
      <c r="E16" s="2"/>
      <c r="F16" s="2"/>
      <c r="G16" s="243">
        <f>IF(H16="","",100/H8)</f>
        <v>6.666666666666667</v>
      </c>
      <c r="H16" s="347">
        <f>IF(OR(H6="",H8="",H10=""),"",IF(H10&gt;=H8,0,H6/H8))</f>
        <v>2166.6666666666665</v>
      </c>
      <c r="I16" s="348"/>
      <c r="J16" s="348"/>
      <c r="K16" s="349"/>
      <c r="L16" s="314" t="s">
        <v>17</v>
      </c>
      <c r="M16" s="317"/>
      <c r="N16" s="316"/>
      <c r="O16" s="358">
        <f>IF(H16="","Afa fehlt!",H16)</f>
        <v>2166.6666666666665</v>
      </c>
      <c r="P16" s="359"/>
      <c r="Q16" s="359"/>
      <c r="R16" s="359"/>
      <c r="S16" s="360"/>
      <c r="T16" s="8"/>
      <c r="U16" s="17"/>
      <c r="V16" s="47" t="str">
        <f>IF(H10&gt;=H8,"Jährliche Afa  =   Maschine ist abgeschrieben → Afa wird NULL!!!","Jährliche Afa  =  Anschaffungswert  :  Nutzungsdauer")</f>
        <v>Jährliche Afa  =  Anschaffungswert  :  Nutzungsdauer</v>
      </c>
      <c r="W16" s="46"/>
      <c r="X16" s="46"/>
      <c r="Y16" s="46"/>
      <c r="Z16" s="46"/>
      <c r="AA16" s="48"/>
      <c r="AB16" s="18"/>
      <c r="AC16" s="171"/>
    </row>
    <row r="17" spans="1:29" ht="19.5" customHeight="1" thickBot="1">
      <c r="A17" s="8"/>
      <c r="B17" s="54" t="s">
        <v>6</v>
      </c>
      <c r="C17" s="54"/>
      <c r="D17" s="118"/>
      <c r="E17" s="352">
        <f>IF(Dateneingabe!C22&lt;&gt;"",Dateneingabe!C22,"")</f>
        <v>223</v>
      </c>
      <c r="F17" s="352"/>
      <c r="G17" s="244" t="str">
        <f>IF(OR(Dateneingabe!C20="",Dateneingabe!C22&lt;&gt;""),"--- ",Dateneingabe!C20)</f>
        <v>--- </v>
      </c>
      <c r="H17" s="347">
        <f>IF(Dateneingabe!C22&lt;&gt;"",Dateneingabe!C22,IF(OR($H$6="",G17=""),"",$H$6*G17))</f>
        <v>223</v>
      </c>
      <c r="I17" s="348"/>
      <c r="J17" s="348"/>
      <c r="K17" s="349"/>
      <c r="L17" s="314"/>
      <c r="M17" s="317"/>
      <c r="N17" s="316"/>
      <c r="O17" s="358">
        <f>IF(H17="","U in € fehlt!",H17)</f>
        <v>223</v>
      </c>
      <c r="P17" s="359"/>
      <c r="Q17" s="359"/>
      <c r="R17" s="359"/>
      <c r="S17" s="360"/>
      <c r="T17" s="9"/>
      <c r="U17" s="17"/>
      <c r="V17" s="49" t="str">
        <f>IF(OR(H10="",H8="",H6=""),"",IF(H10&gt;=H8,"Jährliche Afa  =   0,00 €","Jährliche Afa  =  "&amp;FIXED(H6,2)&amp;" €  :  "&amp;FIXED(H8,0)&amp;"  =  "&amp;FIXED(H6/H8,2)&amp;" €/Jahr"))</f>
        <v>Jährliche Afa  =  32 500,00 €  :  15  =  2 166,67 €/Jahr</v>
      </c>
      <c r="W17" s="50"/>
      <c r="X17" s="50"/>
      <c r="Y17" s="50"/>
      <c r="Z17" s="50"/>
      <c r="AA17" s="51"/>
      <c r="AB17" s="18"/>
      <c r="AC17" s="171"/>
    </row>
    <row r="18" spans="1:29" ht="19.5" customHeight="1" thickBot="1">
      <c r="A18" s="8"/>
      <c r="B18" s="54" t="s">
        <v>7</v>
      </c>
      <c r="C18" s="54"/>
      <c r="D18" s="118"/>
      <c r="E18" s="352">
        <f>IF(Dateneingabe!C29&lt;&gt;"",Dateneingabe!C29,"")</f>
      </c>
      <c r="F18" s="352"/>
      <c r="G18" s="244">
        <f>IF(OR(Dateneingabe!C27="",Dateneingabe!C29&lt;&gt;""),"",Dateneingabe!C27)</f>
        <v>0.01</v>
      </c>
      <c r="H18" s="347">
        <f>IF(Dateneingabe!C29&lt;&gt;"",Dateneingabe!C29,IF(OR($H$6="",G18=""),"",$H$6*G18))</f>
        <v>325</v>
      </c>
      <c r="I18" s="348"/>
      <c r="J18" s="348"/>
      <c r="K18" s="349"/>
      <c r="L18" s="314"/>
      <c r="M18" s="317"/>
      <c r="N18" s="316"/>
      <c r="O18" s="358">
        <f>IF(H18="","V in € fehlt!",H18)</f>
        <v>325</v>
      </c>
      <c r="P18" s="359"/>
      <c r="Q18" s="359"/>
      <c r="R18" s="359"/>
      <c r="S18" s="360"/>
      <c r="T18" s="9"/>
      <c r="U18" s="17"/>
      <c r="V18" s="18"/>
      <c r="W18" s="18"/>
      <c r="X18" s="18"/>
      <c r="Y18" s="18"/>
      <c r="Z18" s="18"/>
      <c r="AA18" s="18"/>
      <c r="AB18" s="18"/>
      <c r="AC18" s="171"/>
    </row>
    <row r="19" spans="1:29" ht="19.5" customHeight="1" thickBot="1">
      <c r="A19" s="8"/>
      <c r="B19" s="2" t="s">
        <v>8</v>
      </c>
      <c r="C19" s="2"/>
      <c r="D19" s="2"/>
      <c r="E19" s="2"/>
      <c r="F19" s="2"/>
      <c r="G19" s="245">
        <f>IF(Dateneingabe!F20="","",Dateneingabe!F20)</f>
        <v>0.03</v>
      </c>
      <c r="H19" s="347">
        <f>IF(OR(H6="",G19=""),"",H6*G19)</f>
        <v>975</v>
      </c>
      <c r="I19" s="348"/>
      <c r="J19" s="348"/>
      <c r="K19" s="349"/>
      <c r="L19" s="314"/>
      <c r="M19" s="317"/>
      <c r="N19" s="316"/>
      <c r="O19" s="336">
        <f>IF(H19="","Z in € fehlt!",H19)</f>
        <v>975</v>
      </c>
      <c r="P19" s="337"/>
      <c r="Q19" s="337"/>
      <c r="R19" s="337"/>
      <c r="S19" s="338"/>
      <c r="T19" s="9"/>
      <c r="U19" s="17"/>
      <c r="V19" s="55" t="s">
        <v>6</v>
      </c>
      <c r="W19" s="52"/>
      <c r="X19" s="52"/>
      <c r="Y19" s="52"/>
      <c r="Z19" s="52"/>
      <c r="AA19" s="53"/>
      <c r="AB19" s="18"/>
      <c r="AC19" s="171"/>
    </row>
    <row r="20" spans="1:29" ht="19.5" customHeight="1" thickBot="1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 t="s">
        <v>9</v>
      </c>
      <c r="M20" s="11"/>
      <c r="N20" s="11"/>
      <c r="O20" s="333">
        <f>IF(AND(H16="",H17="",H18="",H19=""),"",SUM(O16:O19))</f>
        <v>3689.6666666666665</v>
      </c>
      <c r="P20" s="334"/>
      <c r="Q20" s="334"/>
      <c r="R20" s="334"/>
      <c r="S20" s="335"/>
      <c r="T20" s="8"/>
      <c r="U20" s="17"/>
      <c r="V20" s="47" t="str">
        <f>IF(Dateneingabe!C22&lt;&gt;"","Unterbringung in €  =  betrieblicher Wert aus der Buchhaltung!!!","Unterbringung in €  =  Anschaffungswert  x  Unterbringung in %")</f>
        <v>Unterbringung in €  =  betrieblicher Wert aus der Buchhaltung!!!</v>
      </c>
      <c r="W20" s="46"/>
      <c r="X20" s="46"/>
      <c r="Y20" s="46"/>
      <c r="Z20" s="46"/>
      <c r="AA20" s="48"/>
      <c r="AB20" s="18"/>
      <c r="AC20" s="171"/>
    </row>
    <row r="21" spans="1:29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4"/>
      <c r="P21" s="94"/>
      <c r="Q21" s="94"/>
      <c r="R21" s="94"/>
      <c r="S21" s="94"/>
      <c r="T21" s="6"/>
      <c r="U21" s="15"/>
      <c r="V21" s="49" t="str">
        <f>IF(AND(H6="",Dateneingabe!C22=""),"",IF(Dateneingabe!C22&lt;&gt;"","Unterbringung in €  =  "&amp;FIXED(Dateneingabe!C22,2)&amp;" €/Jahr","Unterbringung in €  =  "&amp;FIXED(H6,2)&amp;" €  x  "&amp;FIXED(G17*100,2)&amp;" %  =  "&amp;FIXED(H6*G17,2)&amp;" €/Jahr"))</f>
        <v>Unterbringung in €  =  223,00 €/Jahr</v>
      </c>
      <c r="W21" s="50"/>
      <c r="X21" s="50"/>
      <c r="Y21" s="50"/>
      <c r="Z21" s="50"/>
      <c r="AA21" s="51"/>
      <c r="AB21" s="18"/>
      <c r="AC21" s="171"/>
    </row>
    <row r="22" spans="1:29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98"/>
      <c r="P22" s="98"/>
      <c r="Q22" s="98"/>
      <c r="R22" s="98"/>
      <c r="S22" s="98"/>
      <c r="T22" s="15"/>
      <c r="U22" s="15"/>
      <c r="V22" s="18"/>
      <c r="W22" s="18"/>
      <c r="X22" s="18"/>
      <c r="Y22" s="18"/>
      <c r="Z22" s="18"/>
      <c r="AA22" s="18"/>
      <c r="AB22" s="18"/>
      <c r="AC22" s="171"/>
    </row>
    <row r="23" spans="1:29" ht="19.5" customHeight="1">
      <c r="A23" s="15"/>
      <c r="B23" s="100"/>
      <c r="C23" s="100"/>
      <c r="D23" s="100"/>
      <c r="E23" s="100"/>
      <c r="F23" s="100"/>
      <c r="G23" s="96"/>
      <c r="H23" s="99"/>
      <c r="I23" s="99"/>
      <c r="J23" s="99"/>
      <c r="K23" s="99"/>
      <c r="L23" s="15"/>
      <c r="M23" s="15"/>
      <c r="N23" s="15"/>
      <c r="O23" s="98"/>
      <c r="P23" s="98"/>
      <c r="Q23" s="98"/>
      <c r="R23" s="98"/>
      <c r="S23" s="98"/>
      <c r="T23" s="15"/>
      <c r="U23" s="15"/>
      <c r="V23" s="55" t="s">
        <v>7</v>
      </c>
      <c r="W23" s="52"/>
      <c r="X23" s="52"/>
      <c r="Y23" s="52"/>
      <c r="Z23" s="52"/>
      <c r="AA23" s="53"/>
      <c r="AB23" s="18"/>
      <c r="AC23" s="171"/>
    </row>
    <row r="24" spans="1:29" ht="19.5" customHeight="1">
      <c r="A24" s="15"/>
      <c r="B24" s="96"/>
      <c r="C24" s="96"/>
      <c r="D24" s="100"/>
      <c r="E24" s="100"/>
      <c r="F24" s="100"/>
      <c r="G24" s="100"/>
      <c r="H24" s="99"/>
      <c r="I24" s="99"/>
      <c r="J24" s="99"/>
      <c r="K24" s="99"/>
      <c r="L24" s="15"/>
      <c r="M24" s="15"/>
      <c r="N24" s="15"/>
      <c r="O24" s="98"/>
      <c r="P24" s="98"/>
      <c r="Q24" s="98"/>
      <c r="R24" s="98"/>
      <c r="S24" s="98"/>
      <c r="T24" s="15"/>
      <c r="U24" s="15"/>
      <c r="V24" s="47" t="str">
        <f>IF(Dateneingabe!C29&lt;&gt;"","Versicherung in €  =  betrieblicher Wert aus der Buchhaltung!!!","Versicherung in €  =  Anschaffungswert  x  Versicherung in %")</f>
        <v>Versicherung in €  =  Anschaffungswert  x  Versicherung in %</v>
      </c>
      <c r="W24" s="46"/>
      <c r="X24" s="46"/>
      <c r="Y24" s="46"/>
      <c r="Z24" s="46"/>
      <c r="AA24" s="48"/>
      <c r="AB24" s="18"/>
      <c r="AC24" s="171"/>
    </row>
    <row r="25" spans="1:29" ht="19.5" customHeight="1">
      <c r="A25" s="15"/>
      <c r="B25" s="96"/>
      <c r="C25" s="96"/>
      <c r="D25" s="100"/>
      <c r="E25" s="100"/>
      <c r="F25" s="100"/>
      <c r="G25" s="100"/>
      <c r="H25" s="99"/>
      <c r="I25" s="99"/>
      <c r="J25" s="99"/>
      <c r="K25" s="99"/>
      <c r="L25" s="15"/>
      <c r="M25" s="15"/>
      <c r="N25" s="15"/>
      <c r="O25" s="98"/>
      <c r="P25" s="98"/>
      <c r="Q25" s="98"/>
      <c r="R25" s="98"/>
      <c r="S25" s="98"/>
      <c r="T25" s="15"/>
      <c r="U25" s="15"/>
      <c r="V25" s="49" t="str">
        <f>IF(AND(H6="",Dateneingabe!C29=""),"",IF(Dateneingabe!C29&lt;&gt;"","Versicherung in €  =  "&amp;FIXED(Dateneingabe!C29,2)&amp;" €/Jahr","Versicherung in €  =  "&amp;FIXED(H6,2)&amp;" €  x  "&amp;FIXED(G18*100,2)&amp;" %  =  "&amp;FIXED(H6*G18,2)&amp;" €/Jahr"))</f>
        <v>Versicherung in €  =  32 500,00 €  x  1,00 %  =  325,00 €/Jahr</v>
      </c>
      <c r="W25" s="50"/>
      <c r="X25" s="50"/>
      <c r="Y25" s="50"/>
      <c r="Z25" s="50"/>
      <c r="AA25" s="51"/>
      <c r="AB25" s="18"/>
      <c r="AC25" s="171"/>
    </row>
    <row r="26" spans="1:29" ht="19.5" customHeight="1">
      <c r="A26" s="15"/>
      <c r="B26" s="96"/>
      <c r="C26" s="96"/>
      <c r="D26" s="100"/>
      <c r="E26" s="100"/>
      <c r="F26" s="100"/>
      <c r="G26" s="100"/>
      <c r="H26" s="99"/>
      <c r="I26" s="99"/>
      <c r="J26" s="99"/>
      <c r="K26" s="99"/>
      <c r="L26" s="15"/>
      <c r="M26" s="15"/>
      <c r="N26" s="15"/>
      <c r="O26" s="98"/>
      <c r="P26" s="98"/>
      <c r="Q26" s="98"/>
      <c r="R26" s="98"/>
      <c r="S26" s="98"/>
      <c r="T26" s="15"/>
      <c r="U26" s="15"/>
      <c r="V26" s="18"/>
      <c r="W26" s="18"/>
      <c r="X26" s="18"/>
      <c r="Y26" s="18"/>
      <c r="Z26" s="18"/>
      <c r="AA26" s="18"/>
      <c r="AB26" s="18"/>
      <c r="AC26" s="171"/>
    </row>
    <row r="27" spans="1:29" ht="19.5" customHeight="1">
      <c r="A27" s="15"/>
      <c r="B27" s="96"/>
      <c r="C27" s="96"/>
      <c r="D27" s="100"/>
      <c r="E27" s="100"/>
      <c r="F27" s="100"/>
      <c r="G27" s="100"/>
      <c r="H27" s="99"/>
      <c r="I27" s="99"/>
      <c r="J27" s="99"/>
      <c r="K27" s="99"/>
      <c r="L27" s="15"/>
      <c r="M27" s="15"/>
      <c r="N27" s="15"/>
      <c r="O27" s="98"/>
      <c r="P27" s="98"/>
      <c r="Q27" s="98"/>
      <c r="R27" s="98"/>
      <c r="S27" s="98"/>
      <c r="T27" s="15"/>
      <c r="U27" s="15"/>
      <c r="V27" s="55" t="s">
        <v>8</v>
      </c>
      <c r="W27" s="52"/>
      <c r="X27" s="52"/>
      <c r="Y27" s="52"/>
      <c r="Z27" s="52"/>
      <c r="AA27" s="53"/>
      <c r="AB27" s="18"/>
      <c r="AC27" s="171"/>
    </row>
    <row r="28" spans="1:29" ht="19.5" customHeight="1">
      <c r="A28" s="15"/>
      <c r="B28" s="96"/>
      <c r="C28" s="96"/>
      <c r="D28" s="100"/>
      <c r="E28" s="100"/>
      <c r="F28" s="100"/>
      <c r="G28" s="100"/>
      <c r="H28" s="99"/>
      <c r="I28" s="99"/>
      <c r="J28" s="99"/>
      <c r="K28" s="99"/>
      <c r="L28" s="15"/>
      <c r="M28" s="15"/>
      <c r="N28" s="15"/>
      <c r="O28" s="98"/>
      <c r="P28" s="98"/>
      <c r="Q28" s="98"/>
      <c r="R28" s="98"/>
      <c r="S28" s="98"/>
      <c r="T28" s="15"/>
      <c r="U28" s="15"/>
      <c r="V28" s="47" t="s">
        <v>71</v>
      </c>
      <c r="W28" s="46"/>
      <c r="X28" s="46"/>
      <c r="Y28" s="46"/>
      <c r="Z28" s="46"/>
      <c r="AA28" s="48"/>
      <c r="AB28" s="18"/>
      <c r="AC28" s="171"/>
    </row>
    <row r="29" spans="1:29" ht="19.5" customHeight="1">
      <c r="A29" s="15"/>
      <c r="B29" s="96"/>
      <c r="C29" s="96"/>
      <c r="D29" s="100"/>
      <c r="E29" s="100"/>
      <c r="F29" s="100"/>
      <c r="G29" s="100"/>
      <c r="H29" s="99"/>
      <c r="I29" s="99"/>
      <c r="J29" s="99"/>
      <c r="K29" s="99"/>
      <c r="L29" s="15"/>
      <c r="M29" s="15"/>
      <c r="N29" s="15"/>
      <c r="O29" s="98"/>
      <c r="P29" s="98"/>
      <c r="Q29" s="98"/>
      <c r="R29" s="98"/>
      <c r="S29" s="98"/>
      <c r="T29" s="15"/>
      <c r="U29" s="15"/>
      <c r="V29" s="49" t="str">
        <f>IF(OR(H6="",G19=""),"","Verzinsung in €  =  "&amp;FIXED(H6,2)&amp;" €  x  "&amp;FIXED(G19*100,2)&amp;" %  =  "&amp;FIXED(H6*G19,2)&amp;" €/Jahr")</f>
        <v>Verzinsung in €  =  32 500,00 €  x  3,00 %  =  975,00 €/Jahr</v>
      </c>
      <c r="W29" s="50"/>
      <c r="X29" s="50"/>
      <c r="Y29" s="50"/>
      <c r="Z29" s="50"/>
      <c r="AA29" s="51"/>
      <c r="AB29" s="18"/>
      <c r="AC29" s="171"/>
    </row>
    <row r="30" spans="1:29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98"/>
      <c r="P30" s="98"/>
      <c r="Q30" s="98"/>
      <c r="R30" s="98"/>
      <c r="S30" s="98"/>
      <c r="T30" s="15"/>
      <c r="U30" s="15"/>
      <c r="V30" s="18"/>
      <c r="W30" s="18"/>
      <c r="X30" s="18"/>
      <c r="Y30" s="18"/>
      <c r="Z30" s="18"/>
      <c r="AA30" s="18"/>
      <c r="AB30" s="18"/>
      <c r="AC30" s="171"/>
    </row>
    <row r="31" spans="1:29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98"/>
      <c r="P31" s="98"/>
      <c r="Q31" s="98"/>
      <c r="R31" s="98"/>
      <c r="S31" s="98"/>
      <c r="T31" s="15"/>
      <c r="U31" s="15"/>
      <c r="V31" s="55" t="s">
        <v>72</v>
      </c>
      <c r="W31" s="52"/>
      <c r="X31" s="52"/>
      <c r="Y31" s="52"/>
      <c r="Z31" s="52"/>
      <c r="AA31" s="53"/>
      <c r="AB31" s="18"/>
      <c r="AC31" s="171"/>
    </row>
    <row r="32" spans="1:29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98"/>
      <c r="P32" s="98"/>
      <c r="Q32" s="98"/>
      <c r="R32" s="98"/>
      <c r="S32" s="98"/>
      <c r="T32" s="15"/>
      <c r="U32" s="15"/>
      <c r="V32" s="47" t="s">
        <v>73</v>
      </c>
      <c r="W32" s="46"/>
      <c r="X32" s="46"/>
      <c r="Y32" s="46"/>
      <c r="Z32" s="46"/>
      <c r="AA32" s="48"/>
      <c r="AB32" s="18"/>
      <c r="AC32" s="171"/>
    </row>
    <row r="33" spans="1:29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8"/>
      <c r="P33" s="98"/>
      <c r="Q33" s="98"/>
      <c r="R33" s="98"/>
      <c r="S33" s="98"/>
      <c r="T33" s="15"/>
      <c r="U33" s="15"/>
      <c r="V33" s="49" t="str">
        <f>IF(AND(H16="",H17="",H18="",H19=""),"","FK/Jahr  =  "&amp;FIXED(H16,2)&amp;" €  +  "&amp;FIXED(H17,2)&amp;" €  +  "&amp;FIXED(H18,2)&amp;" €  +  "&amp;FIXED(H19,2)&amp;" €  =  "&amp;FIXED(SUM(H16:H19),2)&amp;" €/Jahr")</f>
        <v>FK/Jahr  =  2 166,67 €  +  223,00 €  +  325,00 €  +  975,00 €  =  3 689,67 €/Jahr</v>
      </c>
      <c r="W33" s="50"/>
      <c r="X33" s="50"/>
      <c r="Y33" s="50"/>
      <c r="Z33" s="50"/>
      <c r="AA33" s="51"/>
      <c r="AB33" s="18"/>
      <c r="AC33" s="171"/>
    </row>
    <row r="34" spans="1:29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98"/>
      <c r="P34" s="98"/>
      <c r="Q34" s="98"/>
      <c r="R34" s="98"/>
      <c r="S34" s="98"/>
      <c r="T34" s="15"/>
      <c r="U34" s="15"/>
      <c r="V34" s="18"/>
      <c r="W34" s="18"/>
      <c r="X34" s="18"/>
      <c r="Y34" s="18"/>
      <c r="Z34" s="18"/>
      <c r="AA34" s="18"/>
      <c r="AB34" s="18"/>
      <c r="AC34" s="171"/>
    </row>
    <row r="35" spans="1:29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98"/>
      <c r="P35" s="98"/>
      <c r="Q35" s="98"/>
      <c r="R35" s="98"/>
      <c r="S35" s="98"/>
      <c r="T35" s="15"/>
      <c r="U35" s="15"/>
      <c r="V35" s="18"/>
      <c r="W35" s="18"/>
      <c r="X35" s="18"/>
      <c r="Y35" s="18"/>
      <c r="Z35" s="18"/>
      <c r="AA35" s="18"/>
      <c r="AB35" s="18"/>
      <c r="AC35" s="18"/>
    </row>
    <row r="36" spans="1:29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4"/>
      <c r="P36" s="94"/>
      <c r="Q36" s="94"/>
      <c r="R36" s="94"/>
      <c r="S36" s="94"/>
      <c r="T36" s="6"/>
      <c r="U36" s="15"/>
      <c r="V36" s="18"/>
      <c r="W36" s="18"/>
      <c r="X36" s="18"/>
      <c r="Y36" s="18"/>
      <c r="Z36" s="18"/>
      <c r="AA36" s="18"/>
      <c r="AB36" s="18"/>
      <c r="AC36" s="92"/>
    </row>
    <row r="37" spans="1:29" ht="19.5" customHeight="1" thickBot="1">
      <c r="A37" s="8"/>
      <c r="B37" s="3" t="s">
        <v>10</v>
      </c>
      <c r="C37" s="3"/>
      <c r="D37" s="3"/>
      <c r="E37" s="3"/>
      <c r="F37" s="3"/>
      <c r="G37" s="19" t="s">
        <v>31</v>
      </c>
      <c r="H37" s="19" t="s">
        <v>35</v>
      </c>
      <c r="I37" s="19"/>
      <c r="J37" s="19"/>
      <c r="K37" s="19"/>
      <c r="L37" s="20"/>
      <c r="M37" s="20"/>
      <c r="N37" s="20"/>
      <c r="O37" s="95" t="s">
        <v>34</v>
      </c>
      <c r="P37" s="95"/>
      <c r="Q37" s="95"/>
      <c r="R37" s="95"/>
      <c r="S37" s="95"/>
      <c r="T37" s="8"/>
      <c r="U37" s="17"/>
      <c r="V37" s="55" t="s">
        <v>74</v>
      </c>
      <c r="W37" s="52"/>
      <c r="X37" s="52"/>
      <c r="Y37" s="52"/>
      <c r="Z37" s="52"/>
      <c r="AA37" s="53"/>
      <c r="AB37" s="18"/>
      <c r="AC37" s="171"/>
    </row>
    <row r="38" spans="1:29" ht="19.5" customHeight="1" thickBot="1">
      <c r="A38" s="8"/>
      <c r="B38" s="2" t="s">
        <v>11</v>
      </c>
      <c r="C38" s="2"/>
      <c r="D38" s="2"/>
      <c r="E38" s="2"/>
      <c r="F38" s="2"/>
      <c r="G38" s="2"/>
      <c r="H38" s="271">
        <f>IF(Dateneingabe!F22="","",Dateneingabe!F22)</f>
        <v>7.33</v>
      </c>
      <c r="I38" s="272"/>
      <c r="J38" s="272"/>
      <c r="K38" s="273"/>
      <c r="L38" s="317" t="s">
        <v>18</v>
      </c>
      <c r="M38" s="317"/>
      <c r="N38" s="318"/>
      <c r="O38" s="344">
        <f>IF(OR(H9="",H38=""),"",H38*H9)</f>
        <v>894.26</v>
      </c>
      <c r="P38" s="345"/>
      <c r="Q38" s="345"/>
      <c r="R38" s="345"/>
      <c r="S38" s="346"/>
      <c r="T38" s="8"/>
      <c r="U38" s="17"/>
      <c r="V38" s="47" t="str">
        <f>IF(Dateneingabe!F22="","Diese Maschine braucht keine Energie!!!","Energie/Jahr  =  Energiekosten/h  x  Auslastung in h pro Jahr")</f>
        <v>Energie/Jahr  =  Energiekosten/h  x  Auslastung in h pro Jahr</v>
      </c>
      <c r="W38" s="46"/>
      <c r="X38" s="46"/>
      <c r="Y38" s="46"/>
      <c r="Z38" s="46"/>
      <c r="AA38" s="48"/>
      <c r="AB38" s="18"/>
      <c r="AC38" s="171"/>
    </row>
    <row r="39" spans="1:29" ht="19.5" customHeight="1" thickBot="1">
      <c r="A39" s="8"/>
      <c r="B39" s="252">
        <v>100</v>
      </c>
      <c r="C39" s="252"/>
      <c r="D39" s="252"/>
      <c r="E39" s="252"/>
      <c r="F39" s="253"/>
      <c r="G39" s="21">
        <f>IF(Dateneingabe!F25="","",Dateneingabe!F25)</f>
        <v>0.008</v>
      </c>
      <c r="H39" s="339">
        <f>IF(OR(H6="",G39=""),"",H6*G39)</f>
        <v>260</v>
      </c>
      <c r="I39" s="340"/>
      <c r="J39" s="340"/>
      <c r="K39" s="341"/>
      <c r="L39" s="317"/>
      <c r="M39" s="317"/>
      <c r="N39" s="318"/>
      <c r="O39" s="344">
        <f>IF(OR(H39="",H9=""),"",H39/100*H9)</f>
        <v>317.2</v>
      </c>
      <c r="P39" s="345"/>
      <c r="Q39" s="345"/>
      <c r="R39" s="345"/>
      <c r="S39" s="346"/>
      <c r="T39" s="8"/>
      <c r="U39" s="17"/>
      <c r="V39" s="49" t="str">
        <f>IF(AND(H9="",H38=""),"",IF(Dateneingabe!F22="","Energie/Jahr  =  0,00 €/Jahr","Energie/Jahr  =  "&amp;FIXED(H38,2)&amp;" €  x  "&amp;FIXED(H9,0)&amp;" h  =  "&amp;FIXED(H9*H38,2)&amp;" €/Jahr"))</f>
        <v>Energie/Jahr  =  7,33 €  x  122 h  =  894,26 €/Jahr</v>
      </c>
      <c r="W39" s="50"/>
      <c r="X39" s="50"/>
      <c r="Y39" s="50"/>
      <c r="Z39" s="50"/>
      <c r="AA39" s="51"/>
      <c r="AB39" s="18"/>
      <c r="AC39" s="171"/>
    </row>
    <row r="40" spans="1:29" ht="19.5" customHeight="1" thickBo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1" t="s">
        <v>12</v>
      </c>
      <c r="M40" s="11"/>
      <c r="N40" s="11"/>
      <c r="O40" s="333">
        <f>IF(AND(H38="",H39=""),"",SUM(O38:O39))</f>
        <v>1211.46</v>
      </c>
      <c r="P40" s="334"/>
      <c r="Q40" s="334"/>
      <c r="R40" s="334"/>
      <c r="S40" s="335"/>
      <c r="T40" s="8"/>
      <c r="U40" s="17"/>
      <c r="V40" s="18"/>
      <c r="W40" s="18"/>
      <c r="X40" s="18"/>
      <c r="Y40" s="18"/>
      <c r="Z40" s="18"/>
      <c r="AA40" s="18"/>
      <c r="AB40" s="18"/>
      <c r="AC40" s="171"/>
    </row>
    <row r="41" spans="1:29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4"/>
      <c r="P41" s="94"/>
      <c r="Q41" s="94"/>
      <c r="R41" s="94"/>
      <c r="S41" s="94"/>
      <c r="T41" s="6"/>
      <c r="U41" s="15"/>
      <c r="V41" s="55" t="s">
        <v>75</v>
      </c>
      <c r="W41" s="52"/>
      <c r="X41" s="52"/>
      <c r="Y41" s="52"/>
      <c r="Z41" s="52"/>
      <c r="AA41" s="53"/>
      <c r="AB41" s="18"/>
      <c r="AC41" s="171"/>
    </row>
    <row r="42" spans="1:29" ht="19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98"/>
      <c r="P42" s="98"/>
      <c r="Q42" s="98"/>
      <c r="R42" s="98"/>
      <c r="S42" s="98"/>
      <c r="T42" s="15"/>
      <c r="U42" s="15"/>
      <c r="V42" s="47" t="s">
        <v>76</v>
      </c>
      <c r="W42" s="46"/>
      <c r="X42" s="46"/>
      <c r="Y42" s="46"/>
      <c r="Z42" s="46"/>
      <c r="AA42" s="48"/>
      <c r="AB42" s="18"/>
      <c r="AC42" s="171"/>
    </row>
    <row r="43" spans="1:29" ht="19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98"/>
      <c r="P43" s="98"/>
      <c r="Q43" s="98"/>
      <c r="R43" s="98"/>
      <c r="S43" s="98"/>
      <c r="T43" s="15"/>
      <c r="U43" s="15"/>
      <c r="V43" s="49" t="str">
        <f>IF(OR(H6="",G39=""),"","Reparaturkosten/100 h  =  "&amp;FIXED(H6,2)&amp;" €  x  "&amp;FIXED(G39*100,2)&amp;" %  =  "&amp;FIXED(H6*G39,2)&amp;" €/100 h")</f>
        <v>Reparaturkosten/100 h  =  32 500,00 €  x  0,80 %  =  260,00 €/100 h</v>
      </c>
      <c r="W43" s="50"/>
      <c r="X43" s="50"/>
      <c r="Y43" s="50"/>
      <c r="Z43" s="50"/>
      <c r="AA43" s="51"/>
      <c r="AB43" s="18"/>
      <c r="AC43" s="171"/>
    </row>
    <row r="44" spans="1:29" ht="19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98"/>
      <c r="P44" s="98"/>
      <c r="Q44" s="98"/>
      <c r="R44" s="98"/>
      <c r="S44" s="98"/>
      <c r="T44" s="15"/>
      <c r="U44" s="15"/>
      <c r="V44" s="18"/>
      <c r="W44" s="18"/>
      <c r="X44" s="18"/>
      <c r="Y44" s="18"/>
      <c r="Z44" s="18"/>
      <c r="AA44" s="18"/>
      <c r="AB44" s="18"/>
      <c r="AC44" s="171"/>
    </row>
    <row r="45" spans="1:29" ht="19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98"/>
      <c r="P45" s="98"/>
      <c r="Q45" s="98"/>
      <c r="R45" s="98"/>
      <c r="S45" s="98"/>
      <c r="T45" s="15"/>
      <c r="U45" s="15"/>
      <c r="V45" s="55" t="s">
        <v>77</v>
      </c>
      <c r="W45" s="52"/>
      <c r="X45" s="52"/>
      <c r="Y45" s="52"/>
      <c r="Z45" s="52"/>
      <c r="AA45" s="53"/>
      <c r="AB45" s="18"/>
      <c r="AC45" s="171"/>
    </row>
    <row r="46" spans="1:29" ht="19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98"/>
      <c r="P46" s="98"/>
      <c r="Q46" s="98"/>
      <c r="R46" s="98"/>
      <c r="S46" s="98"/>
      <c r="T46" s="15"/>
      <c r="U46" s="15"/>
      <c r="V46" s="47" t="s">
        <v>78</v>
      </c>
      <c r="W46" s="46"/>
      <c r="X46" s="46"/>
      <c r="Y46" s="46"/>
      <c r="Z46" s="46"/>
      <c r="AA46" s="48"/>
      <c r="AB46" s="18"/>
      <c r="AC46" s="171"/>
    </row>
    <row r="47" spans="1:29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98"/>
      <c r="P47" s="98"/>
      <c r="Q47" s="98"/>
      <c r="R47" s="98"/>
      <c r="S47" s="98"/>
      <c r="T47" s="15"/>
      <c r="U47" s="15"/>
      <c r="V47" s="49" t="str">
        <f>IF(OR(H6="",G39="",H9=""),"","Reparaturkosten/Jahr  =  "&amp;FIXED(H6*G39,2)&amp;" €  :  "&amp;FIXED(100,0)&amp;"  x  "&amp;FIXED(H9,0)&amp;" h  =  "&amp;FIXED(SUM(H6*G39/100*H9),2)&amp;" €/Jahr")</f>
        <v>Reparaturkosten/Jahr  =  260,00 €  :  100  x  122 h  =  317,20 €/Jahr</v>
      </c>
      <c r="W47" s="50"/>
      <c r="X47" s="50"/>
      <c r="Y47" s="50"/>
      <c r="Z47" s="50"/>
      <c r="AA47" s="51"/>
      <c r="AB47" s="18"/>
      <c r="AC47" s="171"/>
    </row>
    <row r="48" spans="1:29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98"/>
      <c r="P48" s="98"/>
      <c r="Q48" s="98"/>
      <c r="R48" s="98"/>
      <c r="S48" s="98"/>
      <c r="T48" s="15"/>
      <c r="U48" s="15"/>
      <c r="V48" s="18"/>
      <c r="W48" s="18"/>
      <c r="X48" s="18"/>
      <c r="Y48" s="18"/>
      <c r="Z48" s="18"/>
      <c r="AA48" s="18"/>
      <c r="AB48" s="18"/>
      <c r="AC48" s="171"/>
    </row>
    <row r="49" spans="1:29" ht="19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98"/>
      <c r="P49" s="98"/>
      <c r="Q49" s="98"/>
      <c r="R49" s="98"/>
      <c r="S49" s="98"/>
      <c r="T49" s="15"/>
      <c r="U49" s="15"/>
      <c r="V49" s="55" t="s">
        <v>79</v>
      </c>
      <c r="W49" s="52"/>
      <c r="X49" s="52"/>
      <c r="Y49" s="52"/>
      <c r="Z49" s="52"/>
      <c r="AA49" s="53"/>
      <c r="AB49" s="18"/>
      <c r="AC49" s="171"/>
    </row>
    <row r="50" spans="1:29" ht="19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98"/>
      <c r="P50" s="98"/>
      <c r="Q50" s="98"/>
      <c r="R50" s="98"/>
      <c r="S50" s="98"/>
      <c r="T50" s="15"/>
      <c r="U50" s="15"/>
      <c r="V50" s="47" t="s">
        <v>80</v>
      </c>
      <c r="W50" s="46"/>
      <c r="X50" s="46"/>
      <c r="Y50" s="46"/>
      <c r="Z50" s="46"/>
      <c r="AA50" s="48"/>
      <c r="AB50" s="18"/>
      <c r="AC50" s="171"/>
    </row>
    <row r="51" spans="1:29" ht="19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8"/>
      <c r="P51" s="98"/>
      <c r="Q51" s="98"/>
      <c r="R51" s="98"/>
      <c r="S51" s="98"/>
      <c r="T51" s="15"/>
      <c r="U51" s="15"/>
      <c r="V51" s="49" t="str">
        <f>IF(AND(O38="",O39=""),"","VK/Jahr  =  "&amp;FIXED(O38,2)&amp;" €  +  "&amp;FIXED(O39,2)&amp;" €  =  "&amp;FIXED(SUM(O38:O39),2)&amp;" €/Jahr")</f>
        <v>VK/Jahr  =  894,26 €  +  317,20 €  =  1 211,46 €/Jahr</v>
      </c>
      <c r="W51" s="50"/>
      <c r="X51" s="50"/>
      <c r="Y51" s="50"/>
      <c r="Z51" s="50"/>
      <c r="AA51" s="51"/>
      <c r="AB51" s="18"/>
      <c r="AC51" s="171"/>
    </row>
    <row r="52" spans="1:29" ht="19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98"/>
      <c r="P52" s="98"/>
      <c r="Q52" s="98"/>
      <c r="R52" s="98"/>
      <c r="S52" s="98"/>
      <c r="T52" s="15"/>
      <c r="U52" s="15"/>
      <c r="V52" s="18"/>
      <c r="W52" s="18"/>
      <c r="X52" s="18"/>
      <c r="Y52" s="18"/>
      <c r="Z52" s="18"/>
      <c r="AA52" s="18"/>
      <c r="AB52" s="18"/>
      <c r="AC52" s="171"/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98"/>
      <c r="P53" s="98"/>
      <c r="Q53" s="98"/>
      <c r="R53" s="98"/>
      <c r="S53" s="98"/>
      <c r="T53" s="15"/>
      <c r="U53" s="15"/>
      <c r="V53" s="18"/>
      <c r="W53" s="18"/>
      <c r="X53" s="18"/>
      <c r="Y53" s="18"/>
      <c r="Z53" s="18"/>
      <c r="AA53" s="18"/>
      <c r="AB53" s="18"/>
      <c r="AC53" s="171"/>
    </row>
    <row r="54" spans="1:29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4"/>
      <c r="P54" s="94"/>
      <c r="Q54" s="94"/>
      <c r="R54" s="94"/>
      <c r="S54" s="94"/>
      <c r="T54" s="6"/>
      <c r="U54" s="15"/>
      <c r="V54" s="18"/>
      <c r="W54" s="18"/>
      <c r="X54" s="18"/>
      <c r="Y54" s="18"/>
      <c r="Z54" s="18"/>
      <c r="AA54" s="18"/>
      <c r="AB54" s="18"/>
      <c r="AC54" s="171"/>
    </row>
    <row r="55" spans="1:29" ht="19.5" customHeight="1" thickBot="1">
      <c r="A55" s="8"/>
      <c r="B55" s="3" t="s">
        <v>13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95" t="s">
        <v>36</v>
      </c>
      <c r="P55" s="95"/>
      <c r="Q55" s="95"/>
      <c r="R55" s="95"/>
      <c r="S55" s="95"/>
      <c r="T55" s="8"/>
      <c r="U55" s="17"/>
      <c r="V55" s="55" t="s">
        <v>81</v>
      </c>
      <c r="W55" s="52"/>
      <c r="X55" s="52"/>
      <c r="Y55" s="52"/>
      <c r="Z55" s="52"/>
      <c r="AA55" s="53"/>
      <c r="AB55" s="18"/>
      <c r="AC55" s="171"/>
    </row>
    <row r="56" spans="1:29" ht="19.5" customHeight="1" thickBot="1">
      <c r="A56" s="8"/>
      <c r="B56" s="13" t="s">
        <v>14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30">
        <f>IF(OR(O20="",H9=""),"",O20/H9)</f>
        <v>30.243169398907103</v>
      </c>
      <c r="P56" s="331"/>
      <c r="Q56" s="331"/>
      <c r="R56" s="331"/>
      <c r="S56" s="332"/>
      <c r="T56" s="8"/>
      <c r="U56" s="17"/>
      <c r="V56" s="47" t="s">
        <v>83</v>
      </c>
      <c r="W56" s="46"/>
      <c r="X56" s="46"/>
      <c r="Y56" s="46"/>
      <c r="Z56" s="46"/>
      <c r="AA56" s="48"/>
      <c r="AB56" s="18"/>
      <c r="AC56" s="171"/>
    </row>
    <row r="57" spans="1:29" ht="19.5" customHeight="1" thickBot="1">
      <c r="A57" s="8"/>
      <c r="B57" s="13" t="s">
        <v>15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330">
        <f>IF(OR(O40="",H9=""),"",O40/H9)</f>
        <v>9.93</v>
      </c>
      <c r="P57" s="331"/>
      <c r="Q57" s="331"/>
      <c r="R57" s="331"/>
      <c r="S57" s="332"/>
      <c r="T57" s="8"/>
      <c r="U57" s="17"/>
      <c r="V57" s="49" t="str">
        <f>IF(OR(H9="",O20=""),"","FK/h  =  "&amp;FIXED(O20,2)&amp;" €  :  "&amp;FIXED(H9,0)&amp;" h  =  "&amp;FIXED(O20/H9,2)&amp;" €/h")</f>
        <v>FK/h  =  3 689,67 €  :  122 h  =  30,24 €/h</v>
      </c>
      <c r="W57" s="50"/>
      <c r="X57" s="50"/>
      <c r="Y57" s="50"/>
      <c r="Z57" s="50"/>
      <c r="AA57" s="51"/>
      <c r="AB57" s="18"/>
      <c r="AC57" s="171"/>
    </row>
    <row r="58" spans="1:29" ht="19.5" customHeight="1" thickBot="1">
      <c r="A58" s="8"/>
      <c r="B58" s="14" t="s">
        <v>16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327">
        <f>IF(AND(O56="",O57=""),"",SUM(O56:O57))</f>
        <v>40.173169398907106</v>
      </c>
      <c r="P58" s="328"/>
      <c r="Q58" s="328"/>
      <c r="R58" s="328"/>
      <c r="S58" s="329"/>
      <c r="T58" s="8"/>
      <c r="U58" s="18"/>
      <c r="V58" s="18"/>
      <c r="W58" s="18"/>
      <c r="X58" s="18"/>
      <c r="Y58" s="18"/>
      <c r="Z58" s="18"/>
      <c r="AA58" s="18"/>
      <c r="AB58" s="18"/>
      <c r="AC58" s="171"/>
    </row>
    <row r="59" spans="1:2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8"/>
      <c r="V59" s="55" t="s">
        <v>82</v>
      </c>
      <c r="W59" s="52"/>
      <c r="X59" s="52"/>
      <c r="Y59" s="52"/>
      <c r="Z59" s="52"/>
      <c r="AA59" s="53"/>
      <c r="AB59" s="18"/>
      <c r="AC59" s="171"/>
    </row>
    <row r="60" spans="1:29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47" t="s">
        <v>84</v>
      </c>
      <c r="W60" s="46"/>
      <c r="X60" s="46"/>
      <c r="Y60" s="46"/>
      <c r="Z60" s="46"/>
      <c r="AA60" s="48"/>
      <c r="AB60" s="18"/>
      <c r="AC60" s="171"/>
    </row>
    <row r="61" spans="1:29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49" t="str">
        <f>IF(OR(H9="",O40=""),"","VK/h  =  "&amp;FIXED(O40,2)&amp;" €  :  "&amp;FIXED(H9,0)&amp;" h  =  "&amp;FIXED(O40/H9,2)&amp;" €/h")</f>
        <v>VK/h  =  1 211,46 €  :  122 h  =  9,93 €/h</v>
      </c>
      <c r="W61" s="50"/>
      <c r="X61" s="50"/>
      <c r="Y61" s="50"/>
      <c r="Z61" s="50"/>
      <c r="AA61" s="51"/>
      <c r="AB61" s="18"/>
      <c r="AC61" s="171"/>
    </row>
    <row r="62" spans="1:29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71"/>
    </row>
    <row r="63" spans="1:29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55" t="s">
        <v>85</v>
      </c>
      <c r="W63" s="52"/>
      <c r="X63" s="52"/>
      <c r="Y63" s="52"/>
      <c r="Z63" s="52"/>
      <c r="AA63" s="53"/>
      <c r="AB63" s="18"/>
      <c r="AC63" s="171"/>
    </row>
    <row r="64" spans="1:29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47" t="s">
        <v>86</v>
      </c>
      <c r="W64" s="46"/>
      <c r="X64" s="46"/>
      <c r="Y64" s="46"/>
      <c r="Z64" s="46"/>
      <c r="AA64" s="48"/>
      <c r="AB64" s="18"/>
      <c r="AC64" s="171"/>
    </row>
    <row r="65" spans="1:29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75" t="str">
        <f>IF(OR(O56="",O57=""),"","GK/h  =  "&amp;FIXED(O56,2)&amp;" €  +  "&amp;FIXED(O57,2)&amp;" €  =  "&amp;FIXED(SUM(O56:O57),2)&amp;" €/h")</f>
        <v>GK/h  =  30,24 €  +  9,93 €  =  40,17 €/h</v>
      </c>
      <c r="W65" s="46"/>
      <c r="X65" s="46"/>
      <c r="Y65" s="46"/>
      <c r="Z65" s="46"/>
      <c r="AA65" s="48"/>
      <c r="AB65" s="18"/>
      <c r="AC65" s="171"/>
    </row>
    <row r="66" spans="1:29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76"/>
      <c r="V66" s="176"/>
      <c r="W66" s="176"/>
      <c r="X66" s="176"/>
      <c r="Y66" s="176"/>
      <c r="Z66" s="176"/>
      <c r="AA66" s="176"/>
      <c r="AB66" s="176"/>
      <c r="AC66" s="176"/>
    </row>
    <row r="67" spans="1:29" ht="30" customHeight="1">
      <c r="A67" s="172" t="str">
        <f>IF(Dateneingabe!D8="","","Mindesteinsatzstunden: "&amp;IF(Dateneingabe!D8="","",CONCATENATE(Dateneingabe!C6," - ",Dateneingabe!C10)))</f>
        <v>Mindesteinsatzstunden: Allradtraktor - 45 KW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178"/>
      <c r="V67" s="176"/>
      <c r="W67" s="176"/>
      <c r="X67" s="176"/>
      <c r="Y67" s="176"/>
      <c r="Z67" s="176"/>
      <c r="AA67" s="176"/>
      <c r="AB67" s="176"/>
      <c r="AC67" s="176"/>
    </row>
    <row r="68" spans="1:29" ht="49.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78"/>
      <c r="V68" s="176"/>
      <c r="W68" s="176"/>
      <c r="X68" s="176"/>
      <c r="Y68" s="176"/>
      <c r="Z68" s="176"/>
      <c r="AA68" s="176"/>
      <c r="AB68" s="176"/>
      <c r="AC68" s="176"/>
    </row>
    <row r="69" spans="1:29" ht="19.5" customHeight="1">
      <c r="A69" s="8"/>
      <c r="B69" s="3" t="str">
        <f>IF(Dateneingabe!D8="","","Ausgangsdaten")</f>
        <v>Ausgangsdaten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8"/>
      <c r="U69" s="17"/>
      <c r="V69" s="176"/>
      <c r="W69" s="176"/>
      <c r="X69" s="92"/>
      <c r="Y69" s="92"/>
      <c r="Z69" s="92"/>
      <c r="AA69" s="92"/>
      <c r="AB69" s="92"/>
      <c r="AC69" s="92"/>
    </row>
    <row r="70" spans="1:29" ht="19.5" customHeight="1">
      <c r="A70" s="126"/>
      <c r="B70" s="2" t="str">
        <f>IF(Dateneingabe!D8="","",Dateneingabe!B33)</f>
        <v>Maschinenrungtarif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93">
        <f>IF(Dateneingabe!D8="","",IF(Dateneingabe!C33="","",Dateneingabe!C33))</f>
        <v>42.15</v>
      </c>
      <c r="P70" s="294"/>
      <c r="Q70" s="294"/>
      <c r="R70" s="294"/>
      <c r="S70" s="295"/>
      <c r="T70" s="126"/>
      <c r="U70" s="125"/>
      <c r="V70" s="176"/>
      <c r="W70" s="176"/>
      <c r="X70" s="171"/>
      <c r="Y70" s="171"/>
      <c r="Z70" s="171"/>
      <c r="AA70" s="171"/>
      <c r="AB70" s="171"/>
      <c r="AC70" s="171"/>
    </row>
    <row r="71" spans="1:29" ht="19.5" customHeight="1">
      <c r="A71" s="126"/>
      <c r="B71" s="2" t="str">
        <f>IF(Dateneingabe!D8="","",Dateneingabe!B35)</f>
        <v>Lohnansatz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90">
        <f>IF(Dateneingabe!D8="","",IF(Dateneingabe!C35="","",Dateneingabe!C35))</f>
        <v>11</v>
      </c>
      <c r="P71" s="291"/>
      <c r="Q71" s="291"/>
      <c r="R71" s="291"/>
      <c r="S71" s="292"/>
      <c r="T71" s="126"/>
      <c r="U71" s="125"/>
      <c r="V71" s="176"/>
      <c r="W71" s="176"/>
      <c r="X71" s="171"/>
      <c r="Y71" s="171"/>
      <c r="Z71" s="171"/>
      <c r="AA71" s="171"/>
      <c r="AB71" s="171"/>
      <c r="AC71" s="171"/>
    </row>
    <row r="72" spans="1:29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5"/>
      <c r="V72" s="176"/>
      <c r="W72" s="176"/>
      <c r="X72" s="171"/>
      <c r="Y72" s="171"/>
      <c r="Z72" s="171"/>
      <c r="AA72" s="171"/>
      <c r="AB72" s="171"/>
      <c r="AC72" s="171"/>
    </row>
    <row r="73" spans="1:29" ht="19.5" customHeight="1">
      <c r="A73" s="126"/>
      <c r="B73" s="147" t="str">
        <f>IF(Dateneingabe!D8="","","Ohne Berücksichtigung der Arbeitskosten")</f>
        <v>Ohne Berücksichtigung der Arbeitskosten</v>
      </c>
      <c r="C73" s="147"/>
      <c r="D73" s="14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26"/>
      <c r="U73" s="125"/>
      <c r="V73" s="176"/>
      <c r="W73" s="176"/>
      <c r="X73" s="171"/>
      <c r="Y73" s="171"/>
      <c r="Z73" s="171"/>
      <c r="AA73" s="171"/>
      <c r="AB73" s="171"/>
      <c r="AC73" s="171"/>
    </row>
    <row r="74" spans="1:29" ht="15">
      <c r="A74" s="126"/>
      <c r="B74" s="148" t="str">
        <f>IF(Dateneingabe!D8="","","Formel")</f>
        <v>Formel</v>
      </c>
      <c r="C74" s="148"/>
      <c r="D74" s="148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5"/>
      <c r="V74" s="176"/>
      <c r="W74" s="176"/>
      <c r="X74" s="174"/>
      <c r="Y74" s="174"/>
      <c r="Z74" s="174"/>
      <c r="AA74" s="174"/>
      <c r="AB74" s="174"/>
      <c r="AC74" s="174"/>
    </row>
    <row r="75" spans="1:29" ht="3.75" customHeight="1">
      <c r="A75" s="126"/>
      <c r="B75" s="135"/>
      <c r="C75" s="165"/>
      <c r="D75" s="165"/>
      <c r="E75" s="143"/>
      <c r="F75" s="143"/>
      <c r="G75" s="143"/>
      <c r="H75" s="143"/>
      <c r="I75" s="143"/>
      <c r="J75" s="143"/>
      <c r="K75" s="143"/>
      <c r="L75" s="143"/>
      <c r="M75" s="143"/>
      <c r="N75" s="136"/>
      <c r="O75" s="126"/>
      <c r="P75" s="126"/>
      <c r="Q75" s="126"/>
      <c r="R75" s="126"/>
      <c r="S75" s="126"/>
      <c r="T75" s="126"/>
      <c r="U75" s="125"/>
      <c r="V75" s="176"/>
      <c r="W75" s="176"/>
      <c r="X75" s="92"/>
      <c r="Y75" s="92"/>
      <c r="Z75" s="92"/>
      <c r="AA75" s="92"/>
      <c r="AB75" s="92"/>
      <c r="AC75" s="92"/>
    </row>
    <row r="76" spans="1:29" ht="19.5" customHeight="1">
      <c r="A76" s="126"/>
      <c r="B76" s="161"/>
      <c r="C76" s="257" t="str">
        <f>IF(Dateneingabe!D8="","","Mindesteinsatzstunden = ")</f>
        <v>Mindesteinsatzstunden = </v>
      </c>
      <c r="D76" s="257"/>
      <c r="E76" s="257"/>
      <c r="F76" s="150"/>
      <c r="G76" s="350" t="str">
        <f>IF(Dateneingabe!D8="","","Fixkosten/Jahr")</f>
        <v>Fixkosten/Jahr</v>
      </c>
      <c r="H76" s="350"/>
      <c r="I76" s="350"/>
      <c r="J76" s="350"/>
      <c r="K76" s="350"/>
      <c r="L76" s="350"/>
      <c r="M76" s="150"/>
      <c r="N76" s="137"/>
      <c r="O76" s="126"/>
      <c r="P76" s="126"/>
      <c r="Q76" s="126"/>
      <c r="R76" s="126"/>
      <c r="S76" s="126"/>
      <c r="T76" s="126"/>
      <c r="U76" s="125"/>
      <c r="V76" s="176"/>
      <c r="W76" s="176"/>
      <c r="X76" s="174"/>
      <c r="Y76" s="174"/>
      <c r="Z76" s="174"/>
      <c r="AA76" s="174"/>
      <c r="AB76" s="174"/>
      <c r="AC76" s="174"/>
    </row>
    <row r="77" spans="1:29" ht="3" customHeight="1">
      <c r="A77" s="126"/>
      <c r="B77" s="161"/>
      <c r="C77" s="257"/>
      <c r="D77" s="257"/>
      <c r="E77" s="257"/>
      <c r="F77" s="149"/>
      <c r="G77" s="149"/>
      <c r="H77" s="149"/>
      <c r="I77" s="149"/>
      <c r="J77" s="149"/>
      <c r="K77" s="149"/>
      <c r="L77" s="149"/>
      <c r="M77" s="149"/>
      <c r="N77" s="137"/>
      <c r="O77" s="126"/>
      <c r="P77" s="126"/>
      <c r="Q77" s="126"/>
      <c r="R77" s="126"/>
      <c r="S77" s="126"/>
      <c r="T77" s="126"/>
      <c r="U77" s="125"/>
      <c r="V77" s="176"/>
      <c r="W77" s="176"/>
      <c r="X77" s="4"/>
      <c r="Y77" s="4"/>
      <c r="Z77" s="4"/>
      <c r="AA77" s="4"/>
      <c r="AB77" s="4"/>
      <c r="AC77" s="4"/>
    </row>
    <row r="78" spans="1:29" ht="3" customHeight="1">
      <c r="A78" s="126"/>
      <c r="B78" s="161"/>
      <c r="C78" s="257"/>
      <c r="D78" s="257"/>
      <c r="E78" s="257"/>
      <c r="F78" s="138"/>
      <c r="G78" s="138"/>
      <c r="H78" s="138"/>
      <c r="I78" s="138"/>
      <c r="J78" s="138"/>
      <c r="K78" s="138"/>
      <c r="L78" s="138"/>
      <c r="M78" s="138"/>
      <c r="N78" s="137"/>
      <c r="O78" s="126"/>
      <c r="P78" s="126"/>
      <c r="Q78" s="126"/>
      <c r="R78" s="126"/>
      <c r="S78" s="126"/>
      <c r="T78" s="126"/>
      <c r="U78" s="125"/>
      <c r="V78" s="176"/>
      <c r="W78" s="176"/>
      <c r="X78" s="174"/>
      <c r="Y78" s="174"/>
      <c r="Z78" s="174"/>
      <c r="AA78" s="174"/>
      <c r="AB78" s="174"/>
      <c r="AC78" s="174"/>
    </row>
    <row r="79" spans="1:29" ht="19.5" customHeight="1">
      <c r="A79" s="126"/>
      <c r="B79" s="161"/>
      <c r="C79" s="257"/>
      <c r="D79" s="257"/>
      <c r="E79" s="257"/>
      <c r="F79" s="350" t="str">
        <f>IF(Dateneingabe!D8="","","MR-Tarif/h")</f>
        <v>MR-Tarif/h</v>
      </c>
      <c r="G79" s="350"/>
      <c r="H79" s="139"/>
      <c r="I79" s="179" t="str">
        <f>IF(Dateneingabe!D8="","","−")</f>
        <v>−</v>
      </c>
      <c r="J79" s="139"/>
      <c r="K79" s="350" t="str">
        <f>IF(Dateneingabe!D8="","","VK/h")</f>
        <v>VK/h</v>
      </c>
      <c r="L79" s="350"/>
      <c r="M79" s="350"/>
      <c r="N79" s="137"/>
      <c r="O79" s="126"/>
      <c r="P79" s="126"/>
      <c r="Q79" s="126"/>
      <c r="R79" s="126"/>
      <c r="S79" s="126"/>
      <c r="T79" s="126"/>
      <c r="U79" s="125"/>
      <c r="V79" s="176"/>
      <c r="W79" s="176"/>
      <c r="X79" s="92"/>
      <c r="Y79" s="92"/>
      <c r="Z79" s="92"/>
      <c r="AA79" s="92"/>
      <c r="AB79" s="92"/>
      <c r="AC79" s="92"/>
    </row>
    <row r="80" spans="1:29" ht="3.75" customHeight="1">
      <c r="A80" s="126"/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26"/>
      <c r="P80" s="126"/>
      <c r="Q80" s="126"/>
      <c r="R80" s="126"/>
      <c r="S80" s="126"/>
      <c r="T80" s="126"/>
      <c r="U80" s="125"/>
      <c r="V80" s="176"/>
      <c r="W80" s="176"/>
      <c r="X80" s="4"/>
      <c r="Y80" s="4"/>
      <c r="Z80" s="4"/>
      <c r="AA80" s="4"/>
      <c r="AB80" s="4"/>
      <c r="AC80" s="4"/>
    </row>
    <row r="81" spans="1:29" ht="1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5"/>
      <c r="V81" s="176"/>
      <c r="W81" s="176"/>
      <c r="X81" s="92"/>
      <c r="Y81" s="92"/>
      <c r="Z81" s="92"/>
      <c r="AA81" s="92"/>
      <c r="AB81" s="92"/>
      <c r="AC81" s="92"/>
    </row>
    <row r="82" spans="1:29" ht="15.75" thickBot="1">
      <c r="A82" s="126"/>
      <c r="B82" s="148" t="str">
        <f>IF(Dateneingabe!D8="","","Rechenansatz")</f>
        <v>Rechenansatz</v>
      </c>
      <c r="C82" s="148"/>
      <c r="D82" s="148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5"/>
      <c r="V82" s="176"/>
      <c r="W82" s="176"/>
      <c r="X82" s="171"/>
      <c r="Y82" s="171"/>
      <c r="Z82" s="171"/>
      <c r="AA82" s="171"/>
      <c r="AB82" s="171"/>
      <c r="AC82" s="171"/>
    </row>
    <row r="83" spans="1:29" ht="19.5" customHeight="1" thickBot="1">
      <c r="A83" s="126"/>
      <c r="B83" s="126"/>
      <c r="C83" s="258" t="str">
        <f>IF(Dateneingabe!D8="","","Mindesteinsatzstunden = ")</f>
        <v>Mindesteinsatzstunden = </v>
      </c>
      <c r="D83" s="258"/>
      <c r="E83" s="258"/>
      <c r="F83" s="1"/>
      <c r="G83" s="361">
        <f>IF(Dateneingabe!D8="","",IF(O20="","",O20))</f>
        <v>3689.6666666666665</v>
      </c>
      <c r="H83" s="362"/>
      <c r="I83" s="362"/>
      <c r="J83" s="362"/>
      <c r="K83" s="362"/>
      <c r="L83" s="363"/>
      <c r="M83" s="126"/>
      <c r="N83" s="126"/>
      <c r="O83" s="126"/>
      <c r="P83" s="126"/>
      <c r="Q83" s="126"/>
      <c r="R83" s="126"/>
      <c r="S83" s="127"/>
      <c r="T83" s="126"/>
      <c r="U83" s="125"/>
      <c r="V83" s="176"/>
      <c r="W83" s="176"/>
      <c r="X83" s="174"/>
      <c r="Y83" s="174"/>
      <c r="Z83" s="174"/>
      <c r="AA83" s="174"/>
      <c r="AB83" s="174"/>
      <c r="AC83" s="174"/>
    </row>
    <row r="84" spans="1:29" ht="3" customHeight="1">
      <c r="A84" s="126"/>
      <c r="B84" s="160"/>
      <c r="C84" s="258"/>
      <c r="D84" s="258"/>
      <c r="E84" s="258"/>
      <c r="F84" s="151"/>
      <c r="G84" s="151"/>
      <c r="H84" s="151"/>
      <c r="I84" s="151"/>
      <c r="J84" s="151"/>
      <c r="K84" s="151"/>
      <c r="L84" s="151"/>
      <c r="M84" s="151"/>
      <c r="N84" s="4"/>
      <c r="O84" s="4"/>
      <c r="P84" s="4"/>
      <c r="Q84" s="126"/>
      <c r="R84" s="126"/>
      <c r="S84" s="127"/>
      <c r="T84" s="126"/>
      <c r="U84" s="125"/>
      <c r="V84" s="176"/>
      <c r="W84" s="176"/>
      <c r="X84" s="92"/>
      <c r="Y84" s="92"/>
      <c r="Z84" s="92"/>
      <c r="AA84" s="92"/>
      <c r="AB84" s="92"/>
      <c r="AC84" s="92"/>
    </row>
    <row r="85" spans="1:29" ht="3" customHeight="1" thickBot="1">
      <c r="A85" s="126"/>
      <c r="B85" s="160"/>
      <c r="C85" s="258"/>
      <c r="D85" s="258"/>
      <c r="E85" s="2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26"/>
      <c r="R85" s="126"/>
      <c r="S85" s="127"/>
      <c r="T85" s="126"/>
      <c r="U85" s="125"/>
      <c r="V85" s="176"/>
      <c r="W85" s="176"/>
      <c r="X85" s="174"/>
      <c r="Y85" s="174"/>
      <c r="Z85" s="174"/>
      <c r="AA85" s="174"/>
      <c r="AB85" s="174"/>
      <c r="AC85" s="174"/>
    </row>
    <row r="86" spans="1:29" ht="19.5" customHeight="1" thickBot="1">
      <c r="A86" s="126"/>
      <c r="B86" s="160"/>
      <c r="C86" s="258"/>
      <c r="D86" s="258"/>
      <c r="E86" s="258"/>
      <c r="F86" s="361">
        <f>IF(Dateneingabe!D8="","",IF(O70="","",O70))</f>
        <v>42.15</v>
      </c>
      <c r="G86" s="363"/>
      <c r="H86" s="126"/>
      <c r="I86" s="152" t="str">
        <f>IF(Dateneingabe!D8="","",IF(I79="","",I79))</f>
        <v>−</v>
      </c>
      <c r="J86" s="1"/>
      <c r="K86" s="361">
        <f>IF(Dateneingabe!D8="","",IF(O57="","",O57))</f>
        <v>9.93</v>
      </c>
      <c r="L86" s="362"/>
      <c r="M86" s="363"/>
      <c r="N86" s="126"/>
      <c r="O86" s="126"/>
      <c r="P86" s="126"/>
      <c r="Q86" s="126"/>
      <c r="R86" s="126"/>
      <c r="S86" s="127"/>
      <c r="T86" s="126"/>
      <c r="U86" s="125"/>
      <c r="V86" s="176"/>
      <c r="W86" s="176"/>
      <c r="X86" s="92"/>
      <c r="Y86" s="92"/>
      <c r="Z86" s="92"/>
      <c r="AA86" s="92"/>
      <c r="AB86" s="92"/>
      <c r="AC86" s="92"/>
    </row>
    <row r="87" spans="1:29" ht="1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5"/>
      <c r="V87" s="176"/>
      <c r="W87" s="176"/>
      <c r="X87" s="171"/>
      <c r="Y87" s="171"/>
      <c r="Z87" s="171"/>
      <c r="AA87" s="171"/>
      <c r="AB87" s="171"/>
      <c r="AC87" s="171"/>
    </row>
    <row r="88" spans="1:29" ht="15.75" thickBot="1">
      <c r="A88" s="126"/>
      <c r="B88" s="148" t="str">
        <f>IF(Dateneingabe!D8="","","Ergebnis")</f>
        <v>Ergebnis</v>
      </c>
      <c r="C88" s="148"/>
      <c r="D88" s="148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5"/>
      <c r="V88" s="176"/>
      <c r="W88" s="176"/>
      <c r="X88" s="171"/>
      <c r="Y88" s="171"/>
      <c r="Z88" s="171"/>
      <c r="AA88" s="171"/>
      <c r="AB88" s="171"/>
      <c r="AC88" s="171"/>
    </row>
    <row r="89" spans="1:29" ht="19.5" customHeight="1" thickBot="1">
      <c r="A89" s="126"/>
      <c r="B89" s="126"/>
      <c r="C89" s="258" t="str">
        <f>IF(Dateneingabe!D8="","","Mindesteinsatzstunden = ")</f>
        <v>Mindesteinsatzstunden = </v>
      </c>
      <c r="D89" s="258"/>
      <c r="E89" s="259"/>
      <c r="F89" s="364">
        <f>IF(Dateneingabe!D8="","",IF(OR(G83="",F86="",K86=""),"",G83/(F86-K86)))</f>
        <v>114.51479412373267</v>
      </c>
      <c r="G89" s="365"/>
      <c r="I89" s="180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5"/>
      <c r="V89" s="176"/>
      <c r="W89" s="176"/>
      <c r="X89" s="171"/>
      <c r="Y89" s="171"/>
      <c r="Z89" s="171"/>
      <c r="AA89" s="171"/>
      <c r="AB89" s="171"/>
      <c r="AC89" s="171"/>
    </row>
    <row r="90" spans="1:29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5"/>
      <c r="V90" s="176"/>
      <c r="W90" s="176"/>
      <c r="X90" s="171"/>
      <c r="Y90" s="171"/>
      <c r="Z90" s="171"/>
      <c r="AA90" s="171"/>
      <c r="AB90" s="171"/>
      <c r="AC90" s="171"/>
    </row>
    <row r="91" spans="1:29" ht="15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1"/>
      <c r="Y91" s="171"/>
      <c r="Z91" s="171"/>
      <c r="AA91" s="171"/>
      <c r="AB91" s="171"/>
      <c r="AC91" s="171"/>
    </row>
    <row r="92" spans="1:29" ht="15" customHeight="1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1"/>
      <c r="Y92" s="171"/>
      <c r="Z92" s="171"/>
      <c r="AA92" s="171"/>
      <c r="AB92" s="171"/>
      <c r="AC92" s="171"/>
    </row>
    <row r="93" spans="1:29" ht="15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1"/>
      <c r="Y93" s="171"/>
      <c r="Z93" s="171"/>
      <c r="AA93" s="171"/>
      <c r="AB93" s="171"/>
      <c r="AC93" s="171"/>
    </row>
    <row r="94" spans="1:29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5"/>
      <c r="V94" s="176"/>
      <c r="W94" s="176"/>
      <c r="X94" s="171"/>
      <c r="Y94" s="171"/>
      <c r="Z94" s="171"/>
      <c r="AA94" s="171"/>
      <c r="AB94" s="171"/>
      <c r="AC94" s="171"/>
    </row>
    <row r="95" spans="1:29" ht="19.5" customHeight="1">
      <c r="A95" s="126"/>
      <c r="B95" s="147" t="str">
        <f>IF(Dateneingabe!D8="","","Unter Berücksichtigung der  Arbeitskosten")</f>
        <v>Unter Berücksichtigung der  Arbeitskosten</v>
      </c>
      <c r="C95" s="147"/>
      <c r="D95" s="14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126"/>
      <c r="U95" s="125"/>
      <c r="V95" s="176"/>
      <c r="W95" s="176"/>
      <c r="X95" s="171"/>
      <c r="Y95" s="171"/>
      <c r="Z95" s="171"/>
      <c r="AA95" s="171"/>
      <c r="AB95" s="171"/>
      <c r="AC95" s="171"/>
    </row>
    <row r="96" spans="1:29" ht="15">
      <c r="A96" s="126"/>
      <c r="B96" s="148" t="str">
        <f>IF(Dateneingabe!D8="","","Formel")</f>
        <v>Formel</v>
      </c>
      <c r="C96" s="148"/>
      <c r="D96" s="148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5"/>
      <c r="V96" s="176"/>
      <c r="W96" s="176"/>
      <c r="X96" s="174"/>
      <c r="Y96" s="174"/>
      <c r="Z96" s="174"/>
      <c r="AA96" s="174"/>
      <c r="AB96" s="174"/>
      <c r="AC96" s="174"/>
    </row>
    <row r="97" spans="1:29" ht="3.75" customHeight="1">
      <c r="A97" s="126"/>
      <c r="B97" s="135"/>
      <c r="C97" s="165"/>
      <c r="D97" s="165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36"/>
      <c r="T97" s="126"/>
      <c r="U97" s="125"/>
      <c r="V97" s="176"/>
      <c r="W97" s="176"/>
      <c r="X97" s="92"/>
      <c r="Y97" s="92"/>
      <c r="Z97" s="92"/>
      <c r="AA97" s="92"/>
      <c r="AB97" s="92"/>
      <c r="AC97" s="92"/>
    </row>
    <row r="98" spans="1:29" ht="19.5" customHeight="1">
      <c r="A98" s="126"/>
      <c r="B98" s="161"/>
      <c r="C98" s="257" t="str">
        <f>IF(Dateneingabe!D8="","","Mindesteinsatzstunden = ")</f>
        <v>Mindesteinsatzstunden = </v>
      </c>
      <c r="D98" s="257"/>
      <c r="E98" s="257"/>
      <c r="F98" s="155"/>
      <c r="G98" s="155"/>
      <c r="H98" s="155"/>
      <c r="I98" s="350" t="str">
        <f>IF(Dateneingabe!D8="","","Fixkosten/Jahr")</f>
        <v>Fixkosten/Jahr</v>
      </c>
      <c r="J98" s="350"/>
      <c r="K98" s="350"/>
      <c r="L98" s="350"/>
      <c r="M98" s="350"/>
      <c r="N98" s="350"/>
      <c r="O98" s="350"/>
      <c r="P98" s="139"/>
      <c r="Q98" s="139"/>
      <c r="R98" s="139"/>
      <c r="S98" s="137"/>
      <c r="T98" s="126"/>
      <c r="U98" s="125"/>
      <c r="V98" s="176"/>
      <c r="W98" s="176"/>
      <c r="X98" s="174"/>
      <c r="Y98" s="174"/>
      <c r="Z98" s="174"/>
      <c r="AA98" s="174"/>
      <c r="AB98" s="174"/>
      <c r="AC98" s="174"/>
    </row>
    <row r="99" spans="1:29" ht="3" customHeight="1">
      <c r="A99" s="126"/>
      <c r="B99" s="161"/>
      <c r="C99" s="257"/>
      <c r="D99" s="257"/>
      <c r="E99" s="257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37"/>
      <c r="T99" s="126"/>
      <c r="U99" s="125"/>
      <c r="V99" s="176"/>
      <c r="W99" s="176"/>
      <c r="X99" s="4"/>
      <c r="Y99" s="4"/>
      <c r="Z99" s="4"/>
      <c r="AA99" s="4"/>
      <c r="AB99" s="4"/>
      <c r="AC99" s="4"/>
    </row>
    <row r="100" spans="1:29" ht="3" customHeight="1">
      <c r="A100" s="126"/>
      <c r="B100" s="161"/>
      <c r="C100" s="257"/>
      <c r="D100" s="257"/>
      <c r="E100" s="257"/>
      <c r="F100" s="138"/>
      <c r="G100" s="138"/>
      <c r="H100" s="138"/>
      <c r="I100" s="138"/>
      <c r="J100" s="138"/>
      <c r="K100" s="138"/>
      <c r="L100" s="138"/>
      <c r="M100" s="138"/>
      <c r="N100" s="138"/>
      <c r="O100" s="139"/>
      <c r="P100" s="139"/>
      <c r="Q100" s="139"/>
      <c r="R100" s="139"/>
      <c r="S100" s="137"/>
      <c r="T100" s="126"/>
      <c r="U100" s="125"/>
      <c r="V100" s="176"/>
      <c r="W100" s="176"/>
      <c r="X100" s="92"/>
      <c r="Y100" s="92"/>
      <c r="Z100" s="92"/>
      <c r="AA100" s="92"/>
      <c r="AB100" s="92"/>
      <c r="AC100" s="92"/>
    </row>
    <row r="101" spans="1:29" ht="19.5" customHeight="1">
      <c r="A101" s="126"/>
      <c r="B101" s="161"/>
      <c r="C101" s="257"/>
      <c r="D101" s="257"/>
      <c r="E101" s="257"/>
      <c r="F101" s="350" t="str">
        <f>IF(Dateneingabe!D8="","","MR-Tarif/h")</f>
        <v>MR-Tarif/h</v>
      </c>
      <c r="G101" s="350"/>
      <c r="H101" s="139"/>
      <c r="I101" s="179" t="str">
        <f>IF(Dateneingabe!D8="","","−")</f>
        <v>−</v>
      </c>
      <c r="J101" s="153" t="str">
        <f>IF(Dateneingabe!D8="","","(")</f>
        <v>(</v>
      </c>
      <c r="K101" s="350" t="str">
        <f>IF(Dateneingabe!D8="","","Lohnansatz/h")</f>
        <v>Lohnansatz/h</v>
      </c>
      <c r="L101" s="350"/>
      <c r="M101" s="350"/>
      <c r="N101" s="139"/>
      <c r="O101" s="179" t="str">
        <f>IF(Dateneingabe!D8="","","+")</f>
        <v>+</v>
      </c>
      <c r="P101" s="139"/>
      <c r="Q101" s="350" t="str">
        <f>IF(Dateneingabe!D8="","","VK/h")</f>
        <v>VK/h</v>
      </c>
      <c r="R101" s="350"/>
      <c r="S101" s="167" t="str">
        <f>IF(Dateneingabe!D8="","",")")</f>
        <v>)</v>
      </c>
      <c r="T101" s="126"/>
      <c r="U101" s="125"/>
      <c r="V101" s="176"/>
      <c r="W101" s="176"/>
      <c r="X101" s="171"/>
      <c r="Y101" s="171"/>
      <c r="Z101" s="171"/>
      <c r="AA101" s="171"/>
      <c r="AB101" s="171"/>
      <c r="AC101" s="171"/>
    </row>
    <row r="102" spans="1:29" ht="3.75" customHeight="1">
      <c r="A102" s="126"/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2"/>
      <c r="T102" s="126"/>
      <c r="U102" s="125"/>
      <c r="V102" s="176"/>
      <c r="W102" s="176"/>
      <c r="X102" s="174"/>
      <c r="Y102" s="174"/>
      <c r="Z102" s="174"/>
      <c r="AA102" s="174"/>
      <c r="AB102" s="174"/>
      <c r="AC102" s="174"/>
    </row>
    <row r="103" spans="1:29" ht="1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5"/>
      <c r="V103" s="176"/>
      <c r="W103" s="176"/>
      <c r="X103" s="92"/>
      <c r="Y103" s="92"/>
      <c r="Z103" s="92"/>
      <c r="AA103" s="92"/>
      <c r="AB103" s="92"/>
      <c r="AC103" s="92"/>
    </row>
    <row r="104" spans="1:29" ht="15.75" thickBot="1">
      <c r="A104" s="126"/>
      <c r="B104" s="148" t="str">
        <f>IF(Dateneingabe!D8="","","Rechenansatz")</f>
        <v>Rechenansatz</v>
      </c>
      <c r="C104" s="148"/>
      <c r="D104" s="148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5"/>
      <c r="V104" s="176"/>
      <c r="W104" s="176"/>
      <c r="X104" s="171"/>
      <c r="Y104" s="171"/>
      <c r="Z104" s="171"/>
      <c r="AA104" s="171"/>
      <c r="AB104" s="171"/>
      <c r="AC104" s="171"/>
    </row>
    <row r="105" spans="1:29" ht="19.5" customHeight="1" thickBot="1">
      <c r="A105" s="126"/>
      <c r="B105" s="126"/>
      <c r="C105" s="258" t="str">
        <f>IF(Dateneingabe!D8="","","Mindesteinsatzstunden = ")</f>
        <v>Mindesteinsatzstunden = </v>
      </c>
      <c r="D105" s="258"/>
      <c r="E105" s="258"/>
      <c r="F105" s="1"/>
      <c r="G105" s="126"/>
      <c r="H105" s="126"/>
      <c r="I105" s="361">
        <f>IF(Dateneingabe!D8="","",IF(O20="","",O20))</f>
        <v>3689.6666666666665</v>
      </c>
      <c r="J105" s="362"/>
      <c r="K105" s="362"/>
      <c r="L105" s="362"/>
      <c r="M105" s="362"/>
      <c r="N105" s="362"/>
      <c r="O105" s="363"/>
      <c r="P105" s="126"/>
      <c r="Q105" s="126"/>
      <c r="R105" s="126"/>
      <c r="S105" s="127"/>
      <c r="T105" s="126"/>
      <c r="U105" s="125"/>
      <c r="V105" s="176"/>
      <c r="W105" s="176"/>
      <c r="X105" s="174"/>
      <c r="Y105" s="174"/>
      <c r="Z105" s="174"/>
      <c r="AA105" s="174"/>
      <c r="AB105" s="174"/>
      <c r="AC105" s="174"/>
    </row>
    <row r="106" spans="1:29" ht="3" customHeight="1">
      <c r="A106" s="126"/>
      <c r="B106" s="160"/>
      <c r="C106" s="258"/>
      <c r="D106" s="258"/>
      <c r="E106" s="258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27"/>
      <c r="T106" s="126"/>
      <c r="U106" s="125"/>
      <c r="V106" s="176"/>
      <c r="W106" s="176"/>
      <c r="X106" s="92"/>
      <c r="Y106" s="92"/>
      <c r="Z106" s="92"/>
      <c r="AA106" s="92"/>
      <c r="AB106" s="92"/>
      <c r="AC106" s="92"/>
    </row>
    <row r="107" spans="1:29" ht="3" customHeight="1" thickBot="1">
      <c r="A107" s="126"/>
      <c r="B107" s="160"/>
      <c r="C107" s="258"/>
      <c r="D107" s="258"/>
      <c r="E107" s="25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26"/>
      <c r="R107" s="126"/>
      <c r="S107" s="127"/>
      <c r="T107" s="126"/>
      <c r="U107" s="125"/>
      <c r="V107" s="176"/>
      <c r="W107" s="176"/>
      <c r="X107" s="174"/>
      <c r="Y107" s="174"/>
      <c r="Z107" s="174"/>
      <c r="AA107" s="174"/>
      <c r="AB107" s="174"/>
      <c r="AC107" s="174"/>
    </row>
    <row r="108" spans="1:29" ht="19.5" customHeight="1" thickBot="1">
      <c r="A108" s="126"/>
      <c r="B108" s="160"/>
      <c r="C108" s="258"/>
      <c r="D108" s="258"/>
      <c r="E108" s="258"/>
      <c r="F108" s="361">
        <f>IF(Dateneingabe!D8="","",IF(O70="","",O70))</f>
        <v>42.15</v>
      </c>
      <c r="G108" s="363"/>
      <c r="H108" s="126"/>
      <c r="I108" s="152" t="str">
        <f>IF(Dateneingabe!D8="","",IF(I101="","",I101))</f>
        <v>−</v>
      </c>
      <c r="J108" s="164" t="str">
        <f>IF(Dateneingabe!D8="","","(")</f>
        <v>(</v>
      </c>
      <c r="K108" s="361">
        <f>IF(Dateneingabe!D8="","",IF(O71="","",O71))</f>
        <v>11</v>
      </c>
      <c r="L108" s="362"/>
      <c r="M108" s="363"/>
      <c r="N108" s="126"/>
      <c r="O108" s="154" t="str">
        <f>IF(Dateneingabe!D8="","",IF(O101="","",O101))</f>
        <v>+</v>
      </c>
      <c r="P108" s="126"/>
      <c r="Q108" s="361">
        <f>IF(Dateneingabe!D8="","",IF(O57="","",O57))</f>
        <v>9.93</v>
      </c>
      <c r="R108" s="363"/>
      <c r="S108" s="166" t="str">
        <f>IF(Dateneingabe!D8="","",")")</f>
        <v>)</v>
      </c>
      <c r="T108" s="126"/>
      <c r="U108" s="125"/>
      <c r="V108" s="176"/>
      <c r="W108" s="176"/>
      <c r="X108" s="92"/>
      <c r="Y108" s="92"/>
      <c r="Z108" s="92"/>
      <c r="AA108" s="92"/>
      <c r="AB108" s="92"/>
      <c r="AC108" s="92"/>
    </row>
    <row r="109" spans="1:29" ht="1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5"/>
      <c r="V109" s="176"/>
      <c r="W109" s="176"/>
      <c r="X109" s="171"/>
      <c r="Y109" s="171"/>
      <c r="Z109" s="171"/>
      <c r="AA109" s="171"/>
      <c r="AB109" s="171"/>
      <c r="AC109" s="171"/>
    </row>
    <row r="110" spans="1:29" ht="15.75" thickBot="1">
      <c r="A110" s="126"/>
      <c r="B110" s="148" t="str">
        <f>IF(Dateneingabe!D8="","","Ergebnis")</f>
        <v>Ergebnis</v>
      </c>
      <c r="C110" s="148"/>
      <c r="D110" s="148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5"/>
      <c r="V110" s="176"/>
      <c r="W110" s="176"/>
      <c r="X110" s="171"/>
      <c r="Y110" s="171"/>
      <c r="Z110" s="171"/>
      <c r="AA110" s="171"/>
      <c r="AB110" s="171"/>
      <c r="AC110" s="171"/>
    </row>
    <row r="111" spans="1:29" ht="19.5" customHeight="1" thickBot="1">
      <c r="A111" s="126"/>
      <c r="B111" s="126"/>
      <c r="C111" s="258" t="str">
        <f>IF(Dateneingabe!D8="","","Mindesteinsatzstunden = ")</f>
        <v>Mindesteinsatzstunden = </v>
      </c>
      <c r="D111" s="258"/>
      <c r="E111" s="259"/>
      <c r="F111" s="364">
        <f>IF(Dateneingabe!D8="","",IF(OR(I105="",F108="",K108="",Q108=""),"",I105/(F108-(K108+Q108))))</f>
        <v>173.87684574300974</v>
      </c>
      <c r="G111" s="365"/>
      <c r="I111" s="180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5"/>
      <c r="V111" s="176"/>
      <c r="W111" s="176"/>
      <c r="X111" s="171"/>
      <c r="Y111" s="171"/>
      <c r="Z111" s="171"/>
      <c r="AA111" s="171"/>
      <c r="AB111" s="171"/>
      <c r="AC111" s="171"/>
    </row>
    <row r="112" spans="1:29" ht="1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5"/>
      <c r="V112" s="176"/>
      <c r="W112" s="176"/>
      <c r="X112" s="171"/>
      <c r="Y112" s="171"/>
      <c r="Z112" s="171"/>
      <c r="AA112" s="171"/>
      <c r="AB112" s="171"/>
      <c r="AC112" s="171"/>
    </row>
    <row r="113" spans="1:29" ht="15">
      <c r="A113" s="177" t="str">
        <f>IF(Dateneingabe!D8="","",Dateneingabe!D8)</f>
        <v>x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8"/>
      <c r="W113" s="18"/>
      <c r="X113" s="18"/>
      <c r="Y113" s="18"/>
      <c r="Z113" s="18"/>
      <c r="AA113" s="18"/>
      <c r="AB113" s="18"/>
      <c r="AC113" s="18"/>
    </row>
  </sheetData>
  <sheetProtection sheet="1" objects="1" scenarios="1"/>
  <mergeCells count="54">
    <mergeCell ref="C111:E111"/>
    <mergeCell ref="C98:E101"/>
    <mergeCell ref="I98:O98"/>
    <mergeCell ref="F101:G101"/>
    <mergeCell ref="K101:M101"/>
    <mergeCell ref="F111:G111"/>
    <mergeCell ref="C89:E89"/>
    <mergeCell ref="F89:G89"/>
    <mergeCell ref="Q101:R101"/>
    <mergeCell ref="C105:E108"/>
    <mergeCell ref="I105:O105"/>
    <mergeCell ref="F108:G108"/>
    <mergeCell ref="K108:M108"/>
    <mergeCell ref="Q108:R108"/>
    <mergeCell ref="O18:S18"/>
    <mergeCell ref="O17:S17"/>
    <mergeCell ref="O16:S16"/>
    <mergeCell ref="C83:E86"/>
    <mergeCell ref="G83:L83"/>
    <mergeCell ref="F86:G86"/>
    <mergeCell ref="K86:M86"/>
    <mergeCell ref="O70:S70"/>
    <mergeCell ref="O71:S71"/>
    <mergeCell ref="C76:E79"/>
    <mergeCell ref="G76:L76"/>
    <mergeCell ref="F79:G79"/>
    <mergeCell ref="K79:M79"/>
    <mergeCell ref="U1:AB1"/>
    <mergeCell ref="E17:F17"/>
    <mergeCell ref="E18:F18"/>
    <mergeCell ref="H11:K11"/>
    <mergeCell ref="H10:K10"/>
    <mergeCell ref="H9:K9"/>
    <mergeCell ref="H8:K8"/>
    <mergeCell ref="H7:K7"/>
    <mergeCell ref="H6:K6"/>
    <mergeCell ref="H3:K3"/>
    <mergeCell ref="O40:S40"/>
    <mergeCell ref="O39:S39"/>
    <mergeCell ref="O38:S38"/>
    <mergeCell ref="H19:K19"/>
    <mergeCell ref="H18:K18"/>
    <mergeCell ref="H17:K17"/>
    <mergeCell ref="H16:K16"/>
    <mergeCell ref="B39:F39"/>
    <mergeCell ref="O58:S58"/>
    <mergeCell ref="O57:S57"/>
    <mergeCell ref="O56:S56"/>
    <mergeCell ref="O20:S20"/>
    <mergeCell ref="O19:S19"/>
    <mergeCell ref="H39:K39"/>
    <mergeCell ref="H38:K38"/>
    <mergeCell ref="L16:N19"/>
    <mergeCell ref="L38:N39"/>
  </mergeCells>
  <conditionalFormatting sqref="O17:S17">
    <cfRule type="cellIs" priority="29" dxfId="34" operator="equal" stopIfTrue="1">
      <formula>"U in € fehlt!"</formula>
    </cfRule>
  </conditionalFormatting>
  <conditionalFormatting sqref="O18:S18">
    <cfRule type="cellIs" priority="28" dxfId="34" operator="equal" stopIfTrue="1">
      <formula>"V in € fehlt!"</formula>
    </cfRule>
  </conditionalFormatting>
  <conditionalFormatting sqref="O19:S19">
    <cfRule type="cellIs" priority="27" dxfId="34" operator="equal" stopIfTrue="1">
      <formula>"Z in € fehlt!"</formula>
    </cfRule>
  </conditionalFormatting>
  <conditionalFormatting sqref="H11:K11 O16:S16">
    <cfRule type="cellIs" priority="26" dxfId="34" operator="equal" stopIfTrue="1">
      <formula>"Afa fehlt!"</formula>
    </cfRule>
  </conditionalFormatting>
  <conditionalFormatting sqref="G16">
    <cfRule type="expression" priority="25" dxfId="35" stopIfTrue="1">
      <formula>$H$16=0</formula>
    </cfRule>
  </conditionalFormatting>
  <conditionalFormatting sqref="G17:G18">
    <cfRule type="cellIs" priority="24" dxfId="40" operator="equal" stopIfTrue="1">
      <formula>""</formula>
    </cfRule>
  </conditionalFormatting>
  <conditionalFormatting sqref="A67:AC112">
    <cfRule type="expression" priority="64" dxfId="33" stopIfTrue="1">
      <formula>$A$113&lt;&gt;"x"</formula>
    </cfRule>
  </conditionalFormatting>
  <printOptions/>
  <pageMargins left="0.1968503937007874" right="0.1968503937007874" top="0.3937007874015748" bottom="0.3937007874015748" header="0" footer="0.1968503937007874"/>
  <pageSetup blackAndWhite="1" horizontalDpi="600" verticalDpi="600" orientation="landscape" paperSize="9" scale="70" r:id="rId2"/>
  <headerFooter alignWithMargins="0">
    <oddFooter>&amp;L&amp;6© Mag. Wolfgang Harasleben</oddFooter>
  </headerFooter>
  <rowBreaks count="2" manualBreakCount="2">
    <brk id="35" max="28" man="1"/>
    <brk id="66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e&amp;w harasleben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wharasleben</dc:creator>
  <cp:keywords/>
  <dc:description/>
  <cp:lastModifiedBy>Wolfgang Harasleben</cp:lastModifiedBy>
  <cp:lastPrinted>2014-01-22T09:45:22Z</cp:lastPrinted>
  <dcterms:created xsi:type="dcterms:W3CDTF">2004-05-12T19:43:54Z</dcterms:created>
  <dcterms:modified xsi:type="dcterms:W3CDTF">2014-01-25T15:20:16Z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