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02 UFRW2\T00 WH letztes Schuljahr\UFRW2 ÜMod\"/>
    </mc:Choice>
  </mc:AlternateContent>
  <xr:revisionPtr revIDLastSave="0" documentId="13_ncr:1_{65C2AFF2-D931-4EDF-B7A4-2B64D28A7701}" xr6:coauthVersionLast="47" xr6:coauthVersionMax="47" xr10:uidLastSave="{00000000-0000-0000-0000-000000000000}"/>
  <bookViews>
    <workbookView xWindow="-120" yWindow="-120" windowWidth="29040" windowHeight="16440" tabRatio="759" activeTab="1" xr2:uid="{00000000-000D-0000-FFFF-FFFF00000000}"/>
  </bookViews>
  <sheets>
    <sheet name="D-BF" sheetId="1" r:id="rId1"/>
    <sheet name="B-BF" sheetId="14" r:id="rId2"/>
    <sheet name="B-BK" sheetId="3" r:id="rId3"/>
    <sheet name="B-EK" sheetId="4" r:id="rId4"/>
    <sheet name="B-EAK" sheetId="5" r:id="rId5"/>
    <sheet name="B-Erfolg" sheetId="6" r:id="rId6"/>
    <sheet name="Korrektur" sheetId="7" r:id="rId7"/>
    <sheet name="H-BF" sheetId="13" r:id="rId8"/>
    <sheet name="H-BK" sheetId="9" r:id="rId9"/>
    <sheet name="H-EK" sheetId="8" r:id="rId10"/>
    <sheet name="H-EAK" sheetId="10" r:id="rId11"/>
    <sheet name="H-Erfolg" sheetId="11" r:id="rId12"/>
    <sheet name="Kontenplan" sheetId="2" r:id="rId13"/>
    <sheet name="KP LBG" sheetId="12" state="hidden" r:id="rId14"/>
  </sheets>
  <definedNames>
    <definedName name="a">'B-BK'!$C$5</definedName>
    <definedName name="B_BK">'B-BK'!$D$41:$L$103</definedName>
    <definedName name="B_EAK">'B-EAK'!$C$41:$K$106</definedName>
    <definedName name="B_EK">'B-EK'!$C$41:$K$103</definedName>
    <definedName name="B_Text">'D-BF'!$D$52:$D$107</definedName>
    <definedName name="BNr">'D-BF'!$B$52:$B$63</definedName>
    <definedName name="Dat">'D-BF'!$C$52:$C$63</definedName>
    <definedName name="DB">'D-BF'!$N$3:$AQ$46</definedName>
    <definedName name="_xlnm.Print_Area" localSheetId="1">'B-BF'!$A$1:$J$42</definedName>
    <definedName name="_xlnm.Print_Area" localSheetId="2">'B-BK'!$C$1:$S$33</definedName>
    <definedName name="_xlnm.Print_Area" localSheetId="4">'B-EAK'!$B$1:$R$30</definedName>
    <definedName name="_xlnm.Print_Area" localSheetId="3">'B-EK'!$B$1:$R$33</definedName>
    <definedName name="_xlnm.Print_Area" localSheetId="5">'B-Erfolg'!$A$1:$F$15</definedName>
    <definedName name="_xlnm.Print_Area" localSheetId="7">'H-BF'!$A$1:$J$42</definedName>
    <definedName name="_xlnm.Print_Area" localSheetId="8">'H-BK'!$A$1:$R$33</definedName>
    <definedName name="_xlnm.Print_Area" localSheetId="10">'H-EAK'!$B$1:$R$30</definedName>
    <definedName name="_xlnm.Print_Area" localSheetId="9">'H-EK'!$B$1:$R$33</definedName>
    <definedName name="_xlnm.Print_Area" localSheetId="11">'H-Erfolg'!$A$1:$F$15</definedName>
    <definedName name="_xlnm.Print_Area" localSheetId="12">Kontenplan!$A$1:$H$63</definedName>
    <definedName name="_xlnm.Print_Area" localSheetId="6">Korrektur!$A$1:$L$266</definedName>
    <definedName name="_xlnm.Print_Titles" localSheetId="6">Korrektur!$1:$6</definedName>
    <definedName name="Gruppen">'D-BF'!$N$3:$AQ$3</definedName>
    <definedName name="H_BK">'H-BK'!$C$41:$K$103</definedName>
    <definedName name="H_EAK">'H-EAK'!$C$41:$K$106</definedName>
    <definedName name="H_EK">'H-EK'!$C$41:$K$103</definedName>
    <definedName name="KTONR">'KP LBG'!$A$4:$A$107</definedName>
    <definedName name="KTOPL">'KP LBG'!$A$4:$C$107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6" i="10" l="1"/>
  <c r="K105" i="10"/>
  <c r="K104" i="10"/>
  <c r="D104" i="10"/>
  <c r="C104" i="10" s="1"/>
  <c r="K103" i="10"/>
  <c r="D103" i="10"/>
  <c r="C103" i="10" s="1"/>
  <c r="K102" i="10"/>
  <c r="D102" i="10"/>
  <c r="C102" i="10" s="1"/>
  <c r="K101" i="10"/>
  <c r="K100" i="10"/>
  <c r="K99" i="10"/>
  <c r="D99" i="10"/>
  <c r="C99" i="10" s="1"/>
  <c r="K98" i="10"/>
  <c r="D98" i="10"/>
  <c r="C98" i="10" s="1"/>
  <c r="K97" i="10"/>
  <c r="D97" i="10"/>
  <c r="C97" i="10"/>
  <c r="K96" i="10"/>
  <c r="K95" i="10"/>
  <c r="K94" i="10"/>
  <c r="D94" i="10"/>
  <c r="C94" i="10"/>
  <c r="K93" i="10"/>
  <c r="D93" i="10"/>
  <c r="C93" i="10"/>
  <c r="K92" i="10"/>
  <c r="D92" i="10"/>
  <c r="C92" i="10" s="1"/>
  <c r="K91" i="10"/>
  <c r="D91" i="10"/>
  <c r="C91" i="10"/>
  <c r="K86" i="10"/>
  <c r="K85" i="10"/>
  <c r="D85" i="10"/>
  <c r="C85" i="10" s="1"/>
  <c r="K84" i="10"/>
  <c r="D84" i="10"/>
  <c r="C84" i="10" s="1"/>
  <c r="K83" i="10"/>
  <c r="D83" i="10"/>
  <c r="C83" i="10"/>
  <c r="K78" i="10"/>
  <c r="C213" i="7" s="1"/>
  <c r="K77" i="10"/>
  <c r="K76" i="10"/>
  <c r="D76" i="10"/>
  <c r="C76" i="10" s="1"/>
  <c r="K75" i="10"/>
  <c r="D75" i="10"/>
  <c r="C75" i="10"/>
  <c r="K74" i="10"/>
  <c r="D74" i="10"/>
  <c r="C74" i="10" s="1"/>
  <c r="K73" i="10"/>
  <c r="D73" i="10"/>
  <c r="C73" i="10" s="1"/>
  <c r="K72" i="10"/>
  <c r="D72" i="10"/>
  <c r="C72" i="10" s="1"/>
  <c r="K63" i="10"/>
  <c r="K62" i="10"/>
  <c r="C197" i="7" s="1"/>
  <c r="K61" i="10"/>
  <c r="D61" i="10"/>
  <c r="C61" i="10"/>
  <c r="K60" i="10"/>
  <c r="D60" i="10"/>
  <c r="C60" i="10"/>
  <c r="K59" i="10"/>
  <c r="D59" i="10"/>
  <c r="C59" i="10"/>
  <c r="K58" i="10"/>
  <c r="D58" i="10"/>
  <c r="C58" i="10" s="1"/>
  <c r="K57" i="10"/>
  <c r="C192" i="7" s="1"/>
  <c r="D57" i="10"/>
  <c r="C57" i="10"/>
  <c r="K56" i="10"/>
  <c r="D56" i="10"/>
  <c r="C56" i="10"/>
  <c r="K45" i="10"/>
  <c r="K44" i="10"/>
  <c r="K43" i="10"/>
  <c r="C178" i="7" s="1"/>
  <c r="D43" i="10"/>
  <c r="C43" i="10"/>
  <c r="C196" i="7"/>
  <c r="C208" i="7"/>
  <c r="C209" i="7"/>
  <c r="C212" i="7"/>
  <c r="C229" i="7"/>
  <c r="C232" i="7"/>
  <c r="C237" i="7"/>
  <c r="C238" i="7"/>
  <c r="C226" i="7"/>
  <c r="C194" i="7"/>
  <c r="K106" i="5"/>
  <c r="D106" i="5"/>
  <c r="C106" i="5" s="1"/>
  <c r="K105" i="5"/>
  <c r="D105" i="5"/>
  <c r="C105" i="5" s="1"/>
  <c r="K104" i="5"/>
  <c r="D104" i="5"/>
  <c r="C104" i="5" s="1"/>
  <c r="K103" i="5"/>
  <c r="D103" i="5"/>
  <c r="C103" i="5" s="1"/>
  <c r="K102" i="5"/>
  <c r="D102" i="5"/>
  <c r="C102" i="5" s="1"/>
  <c r="K101" i="5"/>
  <c r="D101" i="5"/>
  <c r="C101" i="5" s="1"/>
  <c r="K100" i="5"/>
  <c r="D100" i="5"/>
  <c r="C100" i="5"/>
  <c r="K99" i="5"/>
  <c r="D99" i="5"/>
  <c r="C99" i="5" s="1"/>
  <c r="K98" i="5"/>
  <c r="D98" i="5"/>
  <c r="C98" i="5" s="1"/>
  <c r="K97" i="5"/>
  <c r="D97" i="5"/>
  <c r="C97" i="5" s="1"/>
  <c r="K96" i="5"/>
  <c r="D96" i="5"/>
  <c r="C96" i="5"/>
  <c r="K95" i="5"/>
  <c r="D95" i="5"/>
  <c r="C95" i="5" s="1"/>
  <c r="K94" i="5"/>
  <c r="D94" i="5"/>
  <c r="C94" i="5" s="1"/>
  <c r="K93" i="5"/>
  <c r="D93" i="5"/>
  <c r="C93" i="5" s="1"/>
  <c r="K92" i="5"/>
  <c r="D92" i="5"/>
  <c r="C92" i="5" s="1"/>
  <c r="K91" i="5"/>
  <c r="D91" i="5"/>
  <c r="C91" i="5" s="1"/>
  <c r="K90" i="5"/>
  <c r="D90" i="5"/>
  <c r="C90" i="5" s="1"/>
  <c r="K89" i="5"/>
  <c r="D89" i="5"/>
  <c r="C89" i="5" s="1"/>
  <c r="K88" i="5"/>
  <c r="D88" i="5"/>
  <c r="C88" i="5" s="1"/>
  <c r="K87" i="5"/>
  <c r="D87" i="5"/>
  <c r="C87" i="5" s="1"/>
  <c r="K86" i="5"/>
  <c r="D86" i="5"/>
  <c r="C86" i="5" s="1"/>
  <c r="K85" i="5"/>
  <c r="D85" i="5"/>
  <c r="C85" i="5" s="1"/>
  <c r="K84" i="5"/>
  <c r="D84" i="5"/>
  <c r="C84" i="5"/>
  <c r="K83" i="5"/>
  <c r="D83" i="5"/>
  <c r="C83" i="5" s="1"/>
  <c r="K82" i="5"/>
  <c r="D82" i="5"/>
  <c r="C82" i="5" s="1"/>
  <c r="K81" i="5"/>
  <c r="D81" i="5"/>
  <c r="C81" i="5" s="1"/>
  <c r="K80" i="5"/>
  <c r="D80" i="5"/>
  <c r="C80" i="5"/>
  <c r="K79" i="5"/>
  <c r="D79" i="5"/>
  <c r="C79" i="5" s="1"/>
  <c r="K78" i="5"/>
  <c r="D78" i="5"/>
  <c r="C78" i="5" s="1"/>
  <c r="K77" i="5"/>
  <c r="D77" i="5"/>
  <c r="C77" i="5" s="1"/>
  <c r="K76" i="5"/>
  <c r="D76" i="5"/>
  <c r="C76" i="5" s="1"/>
  <c r="K75" i="5"/>
  <c r="D75" i="5"/>
  <c r="C75" i="5" s="1"/>
  <c r="K74" i="5"/>
  <c r="D74" i="5"/>
  <c r="C74" i="5" s="1"/>
  <c r="K73" i="5"/>
  <c r="D73" i="5"/>
  <c r="C73" i="5" s="1"/>
  <c r="K72" i="5"/>
  <c r="D72" i="5"/>
  <c r="C72" i="5" s="1"/>
  <c r="K71" i="5"/>
  <c r="D71" i="5"/>
  <c r="C71" i="5" s="1"/>
  <c r="K70" i="5"/>
  <c r="D70" i="5"/>
  <c r="C70" i="5" s="1"/>
  <c r="K69" i="5"/>
  <c r="D69" i="5"/>
  <c r="C69" i="5" s="1"/>
  <c r="K68" i="5"/>
  <c r="D68" i="5"/>
  <c r="C68" i="5"/>
  <c r="K67" i="5"/>
  <c r="D67" i="5"/>
  <c r="C67" i="5" s="1"/>
  <c r="K66" i="5"/>
  <c r="D66" i="5"/>
  <c r="C66" i="5" s="1"/>
  <c r="K65" i="5"/>
  <c r="D65" i="5"/>
  <c r="C65" i="5" s="1"/>
  <c r="K64" i="5"/>
  <c r="D64" i="5"/>
  <c r="C64" i="5"/>
  <c r="K63" i="5"/>
  <c r="D63" i="5"/>
  <c r="C63" i="5" s="1"/>
  <c r="K62" i="5"/>
  <c r="D62" i="5"/>
  <c r="C62" i="5" s="1"/>
  <c r="K61" i="5"/>
  <c r="D61" i="5"/>
  <c r="C61" i="5" s="1"/>
  <c r="K60" i="5"/>
  <c r="D60" i="5"/>
  <c r="C60" i="5" s="1"/>
  <c r="K59" i="5"/>
  <c r="D59" i="5"/>
  <c r="C59" i="5" s="1"/>
  <c r="K58" i="5"/>
  <c r="D58" i="5"/>
  <c r="C58" i="5" s="1"/>
  <c r="K57" i="5"/>
  <c r="D57" i="5"/>
  <c r="C57" i="5" s="1"/>
  <c r="K56" i="5"/>
  <c r="D56" i="5"/>
  <c r="C56" i="5" s="1"/>
  <c r="K55" i="5"/>
  <c r="D55" i="5"/>
  <c r="C55" i="5" s="1"/>
  <c r="K54" i="5"/>
  <c r="D54" i="5"/>
  <c r="C54" i="5" s="1"/>
  <c r="K53" i="5"/>
  <c r="D53" i="5"/>
  <c r="C53" i="5" s="1"/>
  <c r="K52" i="5"/>
  <c r="D52" i="5"/>
  <c r="C52" i="5"/>
  <c r="K51" i="5"/>
  <c r="D51" i="5"/>
  <c r="C51" i="5" s="1"/>
  <c r="K50" i="5"/>
  <c r="D50" i="5"/>
  <c r="C50" i="5" s="1"/>
  <c r="K49" i="5"/>
  <c r="D49" i="5"/>
  <c r="C49" i="5" s="1"/>
  <c r="K48" i="5"/>
  <c r="D48" i="5"/>
  <c r="C48" i="5"/>
  <c r="K47" i="5"/>
  <c r="D47" i="5"/>
  <c r="C47" i="5" s="1"/>
  <c r="K46" i="5"/>
  <c r="D46" i="5"/>
  <c r="C46" i="5" s="1"/>
  <c r="K45" i="5"/>
  <c r="D45" i="5"/>
  <c r="C45" i="5" s="1"/>
  <c r="K44" i="5"/>
  <c r="D44" i="5"/>
  <c r="C44" i="5" s="1"/>
  <c r="K43" i="5"/>
  <c r="D43" i="5"/>
  <c r="C43" i="5" s="1"/>
  <c r="K42" i="5"/>
  <c r="D42" i="5"/>
  <c r="C42" i="5" s="1"/>
  <c r="K41" i="5"/>
  <c r="D41" i="5"/>
  <c r="C41" i="5" s="1"/>
  <c r="C179" i="7"/>
  <c r="C180" i="7"/>
  <c r="C191" i="7"/>
  <c r="C193" i="7"/>
  <c r="C195" i="7"/>
  <c r="C198" i="7"/>
  <c r="C207" i="7"/>
  <c r="C210" i="7"/>
  <c r="C211" i="7"/>
  <c r="C218" i="7"/>
  <c r="C219" i="7"/>
  <c r="C220" i="7"/>
  <c r="C221" i="7"/>
  <c r="C227" i="7"/>
  <c r="C228" i="7"/>
  <c r="C230" i="7"/>
  <c r="C231" i="7"/>
  <c r="C233" i="7"/>
  <c r="C234" i="7"/>
  <c r="C235" i="7"/>
  <c r="C236" i="7"/>
  <c r="C239" i="7"/>
  <c r="C240" i="7"/>
  <c r="C241" i="7"/>
  <c r="D178" i="7" l="1"/>
  <c r="D191" i="7"/>
  <c r="D192" i="7"/>
  <c r="D193" i="7"/>
  <c r="D194" i="7"/>
  <c r="D195" i="7"/>
  <c r="D196" i="7"/>
  <c r="D207" i="7"/>
  <c r="D208" i="7"/>
  <c r="D209" i="7"/>
  <c r="D210" i="7"/>
  <c r="D211" i="7"/>
  <c r="D218" i="7"/>
  <c r="D219" i="7"/>
  <c r="D220" i="7"/>
  <c r="D226" i="7"/>
  <c r="D227" i="7"/>
  <c r="D228" i="7"/>
  <c r="D229" i="7"/>
  <c r="D232" i="7"/>
  <c r="D233" i="7"/>
  <c r="D234" i="7"/>
  <c r="D237" i="7"/>
  <c r="D238" i="7"/>
  <c r="D239" i="7"/>
  <c r="H256" i="7" l="1"/>
  <c r="H255" i="7"/>
  <c r="H254" i="7"/>
  <c r="H251" i="7"/>
  <c r="H250" i="7"/>
  <c r="H249" i="7"/>
  <c r="H248" i="7"/>
  <c r="H247" i="7"/>
  <c r="H246" i="7"/>
  <c r="B255" i="7"/>
  <c r="B254" i="7"/>
  <c r="B250" i="7"/>
  <c r="B249" i="7"/>
  <c r="B248" i="7"/>
  <c r="B247" i="7"/>
  <c r="B246" i="7"/>
  <c r="G63" i="2" l="1"/>
  <c r="F63" i="2"/>
  <c r="D63" i="2"/>
  <c r="C63" i="2"/>
  <c r="G62" i="2"/>
  <c r="F62" i="2"/>
  <c r="D62" i="2"/>
  <c r="C62" i="2"/>
  <c r="G61" i="2"/>
  <c r="F61" i="2"/>
  <c r="D61" i="2"/>
  <c r="C61" i="2"/>
  <c r="G60" i="2"/>
  <c r="F60" i="2"/>
  <c r="D60" i="2"/>
  <c r="C60" i="2"/>
  <c r="G59" i="2"/>
  <c r="F59" i="2"/>
  <c r="D59" i="2"/>
  <c r="C59" i="2"/>
  <c r="G58" i="2"/>
  <c r="F58" i="2"/>
  <c r="D58" i="2"/>
  <c r="C58" i="2"/>
  <c r="G57" i="2"/>
  <c r="F57" i="2"/>
  <c r="D57" i="2"/>
  <c r="C57" i="2"/>
  <c r="D56" i="2"/>
  <c r="C56" i="2"/>
  <c r="D55" i="2"/>
  <c r="C55" i="2"/>
  <c r="G54" i="2"/>
  <c r="F54" i="2"/>
  <c r="D54" i="2"/>
  <c r="C54" i="2"/>
  <c r="G53" i="2"/>
  <c r="F53" i="2"/>
  <c r="D53" i="2"/>
  <c r="C53" i="2"/>
  <c r="G52" i="2"/>
  <c r="F52" i="2"/>
  <c r="D52" i="2"/>
  <c r="C52" i="2"/>
  <c r="G51" i="2"/>
  <c r="F51" i="2"/>
  <c r="D51" i="2"/>
  <c r="C51" i="2"/>
  <c r="D50" i="2"/>
  <c r="C50" i="2"/>
  <c r="D49" i="2"/>
  <c r="C49" i="2"/>
  <c r="G48" i="2"/>
  <c r="F48" i="2"/>
  <c r="D48" i="2"/>
  <c r="C48" i="2"/>
  <c r="G47" i="2"/>
  <c r="F47" i="2"/>
  <c r="G46" i="2"/>
  <c r="F46" i="2"/>
  <c r="G45" i="2"/>
  <c r="F45" i="2"/>
  <c r="D45" i="2"/>
  <c r="C45" i="2"/>
  <c r="G44" i="2"/>
  <c r="F44" i="2"/>
  <c r="D44" i="2"/>
  <c r="C44" i="2"/>
  <c r="G43" i="2"/>
  <c r="F43" i="2"/>
  <c r="D43" i="2"/>
  <c r="C43" i="2"/>
  <c r="G42" i="2"/>
  <c r="F42" i="2"/>
  <c r="D42" i="2"/>
  <c r="C42" i="2"/>
  <c r="G41" i="2"/>
  <c r="F41" i="2"/>
  <c r="D41" i="2"/>
  <c r="C41" i="2"/>
  <c r="G40" i="2"/>
  <c r="F40" i="2"/>
  <c r="D40" i="2"/>
  <c r="C40" i="2"/>
  <c r="D39" i="2"/>
  <c r="C39" i="2"/>
  <c r="D38" i="2"/>
  <c r="C38" i="2"/>
  <c r="G37" i="2"/>
  <c r="F37" i="2"/>
  <c r="D37" i="2"/>
  <c r="C37" i="2"/>
  <c r="G36" i="2"/>
  <c r="F36" i="2"/>
  <c r="D36" i="2"/>
  <c r="C36" i="2"/>
  <c r="G35" i="2"/>
  <c r="F35" i="2"/>
  <c r="D35" i="2"/>
  <c r="C35" i="2"/>
  <c r="G34" i="2"/>
  <c r="F34" i="2"/>
  <c r="D32" i="2"/>
  <c r="C32" i="2"/>
  <c r="G31" i="2"/>
  <c r="F31" i="2"/>
  <c r="D31" i="2"/>
  <c r="C31" i="2"/>
  <c r="G30" i="2"/>
  <c r="F30" i="2"/>
  <c r="D30" i="2"/>
  <c r="C30" i="2"/>
  <c r="G29" i="2"/>
  <c r="F29" i="2"/>
  <c r="D29" i="2"/>
  <c r="C29" i="2"/>
  <c r="G28" i="2"/>
  <c r="F28" i="2"/>
  <c r="D28" i="2"/>
  <c r="C28" i="2"/>
  <c r="G27" i="2"/>
  <c r="F27" i="2"/>
  <c r="D27" i="2"/>
  <c r="C27" i="2"/>
  <c r="G26" i="2"/>
  <c r="F26" i="2"/>
  <c r="D26" i="2"/>
  <c r="C26" i="2"/>
  <c r="G25" i="2"/>
  <c r="F25" i="2"/>
  <c r="D25" i="2"/>
  <c r="C25" i="2"/>
  <c r="G24" i="2"/>
  <c r="F24" i="2"/>
  <c r="D24" i="2"/>
  <c r="C24" i="2"/>
  <c r="G23" i="2"/>
  <c r="F23" i="2"/>
  <c r="D23" i="2"/>
  <c r="C23" i="2"/>
  <c r="G22" i="2"/>
  <c r="F22" i="2"/>
  <c r="D22" i="2"/>
  <c r="C22" i="2"/>
  <c r="G21" i="2"/>
  <c r="F21" i="2"/>
  <c r="D21" i="2"/>
  <c r="C21" i="2"/>
  <c r="G20" i="2"/>
  <c r="F20" i="2"/>
  <c r="G19" i="2"/>
  <c r="F19" i="2"/>
  <c r="G18" i="2"/>
  <c r="F18" i="2"/>
  <c r="D18" i="2"/>
  <c r="C18" i="2"/>
  <c r="G17" i="2"/>
  <c r="F17" i="2"/>
  <c r="D17" i="2"/>
  <c r="C17" i="2"/>
  <c r="G16" i="2"/>
  <c r="F16" i="2"/>
  <c r="D16" i="2"/>
  <c r="C16" i="2"/>
  <c r="G15" i="2"/>
  <c r="F15" i="2"/>
  <c r="D15" i="2"/>
  <c r="C15" i="2"/>
  <c r="D14" i="2"/>
  <c r="C14" i="2"/>
  <c r="G12" i="2"/>
  <c r="F12" i="2"/>
  <c r="G11" i="2"/>
  <c r="F11" i="2"/>
  <c r="D11" i="2"/>
  <c r="C11" i="2"/>
  <c r="G10" i="2"/>
  <c r="F10" i="2"/>
  <c r="D10" i="2"/>
  <c r="C10" i="2"/>
  <c r="G9" i="2"/>
  <c r="F9" i="2"/>
  <c r="D9" i="2"/>
  <c r="C9" i="2"/>
  <c r="G8" i="2"/>
  <c r="F8" i="2"/>
  <c r="D8" i="2"/>
  <c r="C8" i="2"/>
  <c r="G7" i="2"/>
  <c r="F7" i="2"/>
  <c r="D7" i="2"/>
  <c r="C7" i="2"/>
  <c r="G6" i="2"/>
  <c r="F6" i="2"/>
  <c r="D6" i="2"/>
  <c r="C6" i="2"/>
  <c r="G5" i="2"/>
  <c r="F5" i="2"/>
  <c r="D5" i="2"/>
  <c r="C5" i="2"/>
  <c r="D4" i="2"/>
  <c r="C4" i="2"/>
  <c r="G3" i="2"/>
  <c r="F3" i="2"/>
  <c r="G4" i="2"/>
  <c r="F4" i="2"/>
  <c r="C42" i="14"/>
  <c r="B42" i="14"/>
  <c r="A42" i="14"/>
  <c r="C41" i="14"/>
  <c r="C41" i="13" s="1"/>
  <c r="B41" i="14"/>
  <c r="B41" i="13" s="1"/>
  <c r="A41" i="14"/>
  <c r="C40" i="14"/>
  <c r="B40" i="14"/>
  <c r="B40" i="13" s="1"/>
  <c r="A40" i="14"/>
  <c r="C38" i="14"/>
  <c r="B38" i="14"/>
  <c r="A38" i="14"/>
  <c r="C37" i="14"/>
  <c r="C37" i="13" s="1"/>
  <c r="B37" i="14"/>
  <c r="B37" i="13" s="1"/>
  <c r="A37" i="14"/>
  <c r="F32" i="14"/>
  <c r="F32" i="13" s="1"/>
  <c r="E32" i="14"/>
  <c r="C32" i="14"/>
  <c r="B32" i="14"/>
  <c r="A32" i="14"/>
  <c r="E31" i="14"/>
  <c r="C31" i="14"/>
  <c r="C31" i="13" s="1"/>
  <c r="B31" i="14"/>
  <c r="B31" i="13" s="1"/>
  <c r="A31" i="14"/>
  <c r="F30" i="14"/>
  <c r="F30" i="13" s="1"/>
  <c r="E30" i="14"/>
  <c r="C30" i="14"/>
  <c r="B30" i="14"/>
  <c r="A30" i="14"/>
  <c r="F29" i="14"/>
  <c r="E29" i="14"/>
  <c r="D29" i="14"/>
  <c r="C29" i="14"/>
  <c r="C29" i="13" s="1"/>
  <c r="B29" i="14"/>
  <c r="B29" i="13" s="1"/>
  <c r="A29" i="14"/>
  <c r="E28" i="14"/>
  <c r="E28" i="13" s="1"/>
  <c r="C28" i="14"/>
  <c r="C28" i="13" s="1"/>
  <c r="P29" i="8" s="1"/>
  <c r="B28" i="14"/>
  <c r="A28" i="14"/>
  <c r="E27" i="14"/>
  <c r="C27" i="14"/>
  <c r="B27" i="14"/>
  <c r="A27" i="14"/>
  <c r="A27" i="13" s="1"/>
  <c r="H30" i="9" s="1"/>
  <c r="F26" i="14"/>
  <c r="F26" i="13" s="1"/>
  <c r="E26" i="14"/>
  <c r="D26" i="14"/>
  <c r="D26" i="13" s="1"/>
  <c r="C26" i="14"/>
  <c r="B26" i="14"/>
  <c r="B26" i="13" s="1"/>
  <c r="I19" i="9" s="1"/>
  <c r="A26" i="14"/>
  <c r="E25" i="14"/>
  <c r="C25" i="14"/>
  <c r="B25" i="14"/>
  <c r="A25" i="14"/>
  <c r="E24" i="14"/>
  <c r="E24" i="13" s="1"/>
  <c r="C24" i="14"/>
  <c r="B24" i="14"/>
  <c r="B24" i="13" s="1"/>
  <c r="A24" i="14"/>
  <c r="E23" i="14"/>
  <c r="E23" i="13" s="1"/>
  <c r="C23" i="14"/>
  <c r="B23" i="14"/>
  <c r="A23" i="14"/>
  <c r="E22" i="14"/>
  <c r="C22" i="14"/>
  <c r="B22" i="14"/>
  <c r="B22" i="13" s="1"/>
  <c r="A22" i="14"/>
  <c r="A22" i="13" s="1"/>
  <c r="E21" i="14"/>
  <c r="C21" i="14"/>
  <c r="B21" i="14"/>
  <c r="B21" i="13" s="1"/>
  <c r="A21" i="14"/>
  <c r="E20" i="14"/>
  <c r="C20" i="14"/>
  <c r="B20" i="14"/>
  <c r="A20" i="14"/>
  <c r="E19" i="14"/>
  <c r="E19" i="13" s="1"/>
  <c r="C19" i="14"/>
  <c r="C19" i="13" s="1"/>
  <c r="B19" i="14"/>
  <c r="B19" i="13" s="1"/>
  <c r="A19" i="14"/>
  <c r="A19" i="13" s="1"/>
  <c r="E18" i="14"/>
  <c r="C18" i="14"/>
  <c r="B18" i="14"/>
  <c r="A18" i="14"/>
  <c r="C14" i="14"/>
  <c r="B14" i="14"/>
  <c r="A14" i="14"/>
  <c r="C13" i="14"/>
  <c r="C13" i="13" s="1"/>
  <c r="P29" i="9" s="1"/>
  <c r="D21" i="10" s="1"/>
  <c r="K54" i="10" s="1"/>
  <c r="C189" i="7" s="1"/>
  <c r="B13" i="14"/>
  <c r="B13" i="13" s="1"/>
  <c r="A13" i="14"/>
  <c r="A13" i="13" s="1"/>
  <c r="C12" i="14"/>
  <c r="B12" i="14"/>
  <c r="A12" i="14"/>
  <c r="C11" i="14"/>
  <c r="B11" i="14"/>
  <c r="A11" i="14"/>
  <c r="C10" i="14"/>
  <c r="C10" i="13" s="1"/>
  <c r="D13" i="9" s="1"/>
  <c r="D18" i="10" s="1"/>
  <c r="K51" i="10" s="1"/>
  <c r="C186" i="7" s="1"/>
  <c r="B10" i="14"/>
  <c r="B10" i="13" s="1"/>
  <c r="C13" i="9" s="1"/>
  <c r="A10" i="14"/>
  <c r="A10" i="13" s="1"/>
  <c r="A13" i="9" s="1"/>
  <c r="B18" i="10" s="1"/>
  <c r="C9" i="14"/>
  <c r="B9" i="14"/>
  <c r="A9" i="14"/>
  <c r="C8" i="14"/>
  <c r="B8" i="14"/>
  <c r="A8" i="14"/>
  <c r="C7" i="14"/>
  <c r="C7" i="13" s="1"/>
  <c r="P21" i="9" s="1"/>
  <c r="D15" i="10" s="1"/>
  <c r="K48" i="10" s="1"/>
  <c r="C183" i="7" s="1"/>
  <c r="B7" i="14"/>
  <c r="B7" i="13" s="1"/>
  <c r="O21" i="9" s="1"/>
  <c r="A7" i="14"/>
  <c r="A7" i="13" s="1"/>
  <c r="N21" i="9" s="1"/>
  <c r="B15" i="10" s="1"/>
  <c r="C6" i="14"/>
  <c r="B6" i="14"/>
  <c r="A6" i="14"/>
  <c r="C5" i="14"/>
  <c r="B5" i="14"/>
  <c r="A5" i="14"/>
  <c r="C42" i="13"/>
  <c r="P6" i="9" s="1"/>
  <c r="B42" i="13"/>
  <c r="A42" i="13"/>
  <c r="N6" i="9" s="1"/>
  <c r="A41" i="13"/>
  <c r="C40" i="13"/>
  <c r="A40" i="13"/>
  <c r="C38" i="13"/>
  <c r="D7" i="9" s="1"/>
  <c r="B38" i="13"/>
  <c r="A38" i="13"/>
  <c r="B30" i="8" s="1"/>
  <c r="A37" i="13"/>
  <c r="H6" i="9" s="1"/>
  <c r="E32" i="13"/>
  <c r="C32" i="13"/>
  <c r="B32" i="13"/>
  <c r="A32" i="13"/>
  <c r="E31" i="13"/>
  <c r="A31" i="13"/>
  <c r="E30" i="13"/>
  <c r="C30" i="13"/>
  <c r="B30" i="13"/>
  <c r="A30" i="13"/>
  <c r="F29" i="13"/>
  <c r="E29" i="13"/>
  <c r="D29" i="13"/>
  <c r="A29" i="13"/>
  <c r="B7" i="8" s="1"/>
  <c r="B28" i="13"/>
  <c r="A28" i="13"/>
  <c r="N29" i="8" s="1"/>
  <c r="E27" i="13"/>
  <c r="C27" i="13"/>
  <c r="J30" i="9" s="1"/>
  <c r="B27" i="13"/>
  <c r="E26" i="13"/>
  <c r="C26" i="13"/>
  <c r="A26" i="13"/>
  <c r="E25" i="13"/>
  <c r="C25" i="13"/>
  <c r="J18" i="9" s="1"/>
  <c r="B25" i="13"/>
  <c r="C5" i="10" s="1"/>
  <c r="A25" i="13"/>
  <c r="C24" i="13"/>
  <c r="A24" i="13"/>
  <c r="C23" i="13"/>
  <c r="J17" i="9" s="1"/>
  <c r="B23" i="13"/>
  <c r="I17" i="9" s="1"/>
  <c r="A23" i="13"/>
  <c r="H17" i="9" s="1"/>
  <c r="E22" i="13"/>
  <c r="C22" i="13"/>
  <c r="E21" i="13"/>
  <c r="C21" i="13"/>
  <c r="A21" i="13"/>
  <c r="B5" i="8" s="1"/>
  <c r="E20" i="13"/>
  <c r="C20" i="13"/>
  <c r="D21" i="8" s="1"/>
  <c r="B20" i="13"/>
  <c r="A20" i="13"/>
  <c r="H15" i="9" s="1"/>
  <c r="E18" i="13"/>
  <c r="C18" i="13"/>
  <c r="D14" i="9" s="1"/>
  <c r="B18" i="13"/>
  <c r="C14" i="9" s="1"/>
  <c r="A18" i="13"/>
  <c r="A30" i="9" s="1"/>
  <c r="C14" i="13"/>
  <c r="B14" i="13"/>
  <c r="O29" i="9" s="1"/>
  <c r="A14" i="13"/>
  <c r="C12" i="13"/>
  <c r="D29" i="9" s="1"/>
  <c r="D20" i="10" s="1"/>
  <c r="K53" i="10" s="1"/>
  <c r="C188" i="7" s="1"/>
  <c r="B12" i="13"/>
  <c r="C29" i="9" s="1"/>
  <c r="A12" i="13"/>
  <c r="A29" i="9" s="1"/>
  <c r="B20" i="10" s="1"/>
  <c r="C11" i="13"/>
  <c r="B11" i="13"/>
  <c r="A11" i="13"/>
  <c r="C9" i="13"/>
  <c r="P5" i="9" s="1"/>
  <c r="D17" i="10" s="1"/>
  <c r="K50" i="10" s="1"/>
  <c r="C185" i="7" s="1"/>
  <c r="B9" i="13"/>
  <c r="O5" i="9" s="1"/>
  <c r="A9" i="13"/>
  <c r="N5" i="9" s="1"/>
  <c r="B17" i="10" s="1"/>
  <c r="C8" i="13"/>
  <c r="B8" i="13"/>
  <c r="A8" i="13"/>
  <c r="C6" i="13"/>
  <c r="B6" i="13"/>
  <c r="I5" i="9" s="1"/>
  <c r="A6" i="13"/>
  <c r="H5" i="9" s="1"/>
  <c r="B14" i="10" s="1"/>
  <c r="C5" i="13"/>
  <c r="B5" i="13"/>
  <c r="A5" i="13"/>
  <c r="I30" i="9"/>
  <c r="N29" i="9"/>
  <c r="J29" i="9"/>
  <c r="D22" i="10" s="1"/>
  <c r="K55" i="10" s="1"/>
  <c r="C190" i="7" s="1"/>
  <c r="I29" i="9"/>
  <c r="C22" i="10" s="1"/>
  <c r="H29" i="9"/>
  <c r="B22" i="10" s="1"/>
  <c r="P22" i="9"/>
  <c r="N22" i="9"/>
  <c r="D22" i="9"/>
  <c r="D21" i="9"/>
  <c r="J19" i="9"/>
  <c r="H19" i="9"/>
  <c r="H18" i="9"/>
  <c r="J16" i="9"/>
  <c r="I15" i="9"/>
  <c r="D15" i="9"/>
  <c r="A15" i="9"/>
  <c r="N14" i="9"/>
  <c r="P13" i="9"/>
  <c r="D16" i="10" s="1"/>
  <c r="K49" i="10" s="1"/>
  <c r="C184" i="7" s="1"/>
  <c r="O13" i="9"/>
  <c r="N13" i="9"/>
  <c r="B16" i="10" s="1"/>
  <c r="J13" i="9"/>
  <c r="I13" i="9"/>
  <c r="H13" i="9"/>
  <c r="C7" i="9"/>
  <c r="O6" i="9"/>
  <c r="D6" i="9"/>
  <c r="C6" i="9"/>
  <c r="A6" i="9"/>
  <c r="J5" i="9"/>
  <c r="D5" i="9"/>
  <c r="D13" i="10" s="1"/>
  <c r="K46" i="10" s="1"/>
  <c r="C181" i="7" s="1"/>
  <c r="C5" i="9"/>
  <c r="A5" i="9"/>
  <c r="B13" i="10" s="1"/>
  <c r="C30" i="8"/>
  <c r="O29" i="8"/>
  <c r="B29" i="8"/>
  <c r="C22" i="8"/>
  <c r="C21" i="8"/>
  <c r="B9" i="8"/>
  <c r="D8" i="8"/>
  <c r="B8" i="8"/>
  <c r="D6" i="8"/>
  <c r="B6" i="8"/>
  <c r="D5" i="8"/>
  <c r="F21" i="10"/>
  <c r="B21" i="10"/>
  <c r="E20" i="10"/>
  <c r="E19" i="10"/>
  <c r="D19" i="10"/>
  <c r="K52" i="10" s="1"/>
  <c r="C187" i="7" s="1"/>
  <c r="B19" i="10"/>
  <c r="E18" i="10"/>
  <c r="E17" i="10"/>
  <c r="E16" i="10"/>
  <c r="E15" i="10"/>
  <c r="E14" i="10"/>
  <c r="D14" i="10"/>
  <c r="K47" i="10" s="1"/>
  <c r="C182" i="7" s="1"/>
  <c r="E13" i="10"/>
  <c r="H12" i="10"/>
  <c r="H11" i="10"/>
  <c r="H10" i="10"/>
  <c r="H9" i="10"/>
  <c r="O8" i="10"/>
  <c r="N8" i="10"/>
  <c r="H8" i="10"/>
  <c r="N7" i="10"/>
  <c r="H7" i="10"/>
  <c r="N6" i="10"/>
  <c r="H6" i="10"/>
  <c r="B6" i="10"/>
  <c r="N5" i="10"/>
  <c r="H5" i="10"/>
  <c r="D5" i="10"/>
  <c r="K41" i="10" s="1"/>
  <c r="B5" i="10"/>
  <c r="C21" i="9" l="1"/>
  <c r="C5" i="8"/>
  <c r="O22" i="9"/>
  <c r="C8" i="8"/>
  <c r="P30" i="9"/>
  <c r="J14" i="9"/>
  <c r="A22" i="9"/>
  <c r="H16" i="9"/>
  <c r="C6" i="10"/>
  <c r="C7" i="8"/>
  <c r="I6" i="9"/>
  <c r="C29" i="8"/>
  <c r="C9" i="8"/>
  <c r="O14" i="9"/>
  <c r="H14" i="9"/>
  <c r="N30" i="9"/>
  <c r="C22" i="9"/>
  <c r="I16" i="9"/>
  <c r="D6" i="10"/>
  <c r="K42" i="10" s="1"/>
  <c r="C177" i="7" s="1"/>
  <c r="D7" i="8"/>
  <c r="D29" i="8"/>
  <c r="J6" i="9"/>
  <c r="P14" i="9"/>
  <c r="D9" i="8"/>
  <c r="O30" i="9"/>
  <c r="I14" i="9"/>
  <c r="C6" i="8"/>
  <c r="C15" i="9"/>
  <c r="I18" i="9"/>
  <c r="C30" i="9"/>
  <c r="D22" i="8"/>
  <c r="D30" i="8"/>
  <c r="J15" i="9"/>
  <c r="D30" i="9"/>
  <c r="A7" i="9"/>
  <c r="B21" i="8"/>
  <c r="A14" i="9"/>
  <c r="A21" i="9"/>
  <c r="B22" i="8"/>
  <c r="B241" i="7"/>
  <c r="B240" i="7"/>
  <c r="H239" i="7"/>
  <c r="B239" i="7"/>
  <c r="H238" i="7"/>
  <c r="B238" i="7"/>
  <c r="H237" i="7"/>
  <c r="B237" i="7"/>
  <c r="B236" i="7"/>
  <c r="B235" i="7"/>
  <c r="H234" i="7"/>
  <c r="B234" i="7"/>
  <c r="H233" i="7"/>
  <c r="B233" i="7"/>
  <c r="H232" i="7"/>
  <c r="B232" i="7"/>
  <c r="B231" i="7"/>
  <c r="B230" i="7"/>
  <c r="H229" i="7"/>
  <c r="B229" i="7"/>
  <c r="H228" i="7"/>
  <c r="B228" i="7"/>
  <c r="H227" i="7"/>
  <c r="B227" i="7"/>
  <c r="H226" i="7"/>
  <c r="B226" i="7"/>
  <c r="B225" i="7"/>
  <c r="B224" i="7"/>
  <c r="B223" i="7"/>
  <c r="B222" i="7"/>
  <c r="B221" i="7"/>
  <c r="H220" i="7"/>
  <c r="B220" i="7"/>
  <c r="H219" i="7"/>
  <c r="B219" i="7"/>
  <c r="H218" i="7"/>
  <c r="B218" i="7"/>
  <c r="B217" i="7"/>
  <c r="B216" i="7"/>
  <c r="B215" i="7"/>
  <c r="B214" i="7"/>
  <c r="B213" i="7"/>
  <c r="B212" i="7"/>
  <c r="H211" i="7"/>
  <c r="B211" i="7"/>
  <c r="H210" i="7"/>
  <c r="B210" i="7"/>
  <c r="H209" i="7"/>
  <c r="B209" i="7"/>
  <c r="H208" i="7"/>
  <c r="B208" i="7"/>
  <c r="H207" i="7"/>
  <c r="B207" i="7"/>
  <c r="B206" i="7"/>
  <c r="B205" i="7"/>
  <c r="B204" i="7"/>
  <c r="B203" i="7"/>
  <c r="B202" i="7"/>
  <c r="B201" i="7"/>
  <c r="B200" i="7"/>
  <c r="B199" i="7"/>
  <c r="B198" i="7"/>
  <c r="B197" i="7"/>
  <c r="H196" i="7"/>
  <c r="B196" i="7"/>
  <c r="H195" i="7"/>
  <c r="B195" i="7"/>
  <c r="H194" i="7"/>
  <c r="B194" i="7"/>
  <c r="H193" i="7"/>
  <c r="B193" i="7"/>
  <c r="H192" i="7"/>
  <c r="B192" i="7"/>
  <c r="H191" i="7"/>
  <c r="B191" i="7"/>
  <c r="B190" i="7"/>
  <c r="B189" i="7"/>
  <c r="B188" i="7"/>
  <c r="B187" i="7"/>
  <c r="B186" i="7"/>
  <c r="B185" i="7"/>
  <c r="B184" i="7"/>
  <c r="B183" i="7"/>
  <c r="B182" i="7"/>
  <c r="B181" i="7"/>
  <c r="B180" i="7"/>
  <c r="B179" i="7"/>
  <c r="H178" i="7"/>
  <c r="B178" i="7"/>
  <c r="B177" i="7"/>
  <c r="B176"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H41" i="7"/>
  <c r="D41" i="7"/>
  <c r="H40" i="7"/>
  <c r="D40" i="7"/>
  <c r="H39" i="7"/>
  <c r="D39" i="7"/>
  <c r="H38" i="7"/>
  <c r="D38" i="7"/>
  <c r="H37" i="7"/>
  <c r="D37" i="7"/>
  <c r="H35" i="7"/>
  <c r="D35" i="7"/>
  <c r="H34" i="7"/>
  <c r="D34" i="7"/>
  <c r="H33" i="7"/>
  <c r="D33" i="7"/>
  <c r="H32" i="7"/>
  <c r="D32" i="7"/>
  <c r="H31" i="7"/>
  <c r="D31" i="7"/>
  <c r="H30" i="7"/>
  <c r="D30" i="7"/>
  <c r="H29" i="7"/>
  <c r="D29" i="7"/>
  <c r="H28" i="7"/>
  <c r="D28" i="7"/>
  <c r="H27" i="7"/>
  <c r="D27" i="7"/>
  <c r="H26" i="7"/>
  <c r="D26" i="7"/>
  <c r="H25" i="7"/>
  <c r="D25" i="7"/>
  <c r="H24" i="7"/>
  <c r="D24" i="7"/>
  <c r="H23" i="7"/>
  <c r="D23" i="7"/>
  <c r="H22" i="7"/>
  <c r="D22" i="7"/>
  <c r="H21" i="7"/>
  <c r="D21" i="7"/>
  <c r="H19" i="7"/>
  <c r="D19" i="7"/>
  <c r="H18" i="7"/>
  <c r="D18" i="7"/>
  <c r="H17" i="7"/>
  <c r="D17" i="7"/>
  <c r="H16" i="7"/>
  <c r="D16" i="7"/>
  <c r="H15" i="7"/>
  <c r="D15" i="7"/>
  <c r="H14" i="7"/>
  <c r="D14" i="7"/>
  <c r="H13" i="7"/>
  <c r="D13" i="7"/>
  <c r="H12" i="7"/>
  <c r="D12" i="7"/>
  <c r="H11" i="7"/>
  <c r="D11" i="7"/>
  <c r="H10" i="7"/>
  <c r="D10" i="7"/>
  <c r="M12" i="7" l="1"/>
  <c r="M18" i="7"/>
  <c r="M25" i="7"/>
  <c r="M31" i="7"/>
  <c r="M38" i="7"/>
  <c r="I209" i="7"/>
  <c r="M209" i="7"/>
  <c r="I229" i="7"/>
  <c r="M229" i="7"/>
  <c r="M13" i="7"/>
  <c r="M19" i="7"/>
  <c r="M26" i="7"/>
  <c r="M32" i="7"/>
  <c r="M39" i="7"/>
  <c r="I194" i="7"/>
  <c r="M194" i="7"/>
  <c r="I210" i="7"/>
  <c r="M210" i="7"/>
  <c r="M14" i="7"/>
  <c r="M21" i="7"/>
  <c r="M27" i="7"/>
  <c r="M33" i="7"/>
  <c r="M40" i="7"/>
  <c r="M195" i="7"/>
  <c r="I195" i="7"/>
  <c r="I211" i="7"/>
  <c r="M211" i="7"/>
  <c r="M237" i="7"/>
  <c r="I237" i="7"/>
  <c r="I178" i="7"/>
  <c r="M178" i="7"/>
  <c r="M15" i="7"/>
  <c r="M22" i="7"/>
  <c r="M28" i="7"/>
  <c r="M34" i="7"/>
  <c r="M41" i="7"/>
  <c r="I193" i="7"/>
  <c r="M193" i="7"/>
  <c r="I196" i="7"/>
  <c r="M196" i="7"/>
  <c r="I218" i="7"/>
  <c r="M218" i="7"/>
  <c r="I226" i="7"/>
  <c r="M226" i="7"/>
  <c r="I232" i="7"/>
  <c r="M232" i="7"/>
  <c r="I238" i="7"/>
  <c r="M238" i="7"/>
  <c r="M10" i="7"/>
  <c r="M16" i="7"/>
  <c r="M23" i="7"/>
  <c r="M29" i="7"/>
  <c r="M35" i="7"/>
  <c r="I191" i="7"/>
  <c r="M191" i="7"/>
  <c r="I207" i="7"/>
  <c r="M207" i="7"/>
  <c r="M219" i="7"/>
  <c r="I219" i="7"/>
  <c r="I227" i="7"/>
  <c r="M227" i="7"/>
  <c r="I233" i="7"/>
  <c r="M233" i="7"/>
  <c r="M239" i="7"/>
  <c r="I239" i="7"/>
  <c r="M11" i="7"/>
  <c r="M17" i="7"/>
  <c r="M24" i="7"/>
  <c r="M30" i="7"/>
  <c r="M37" i="7"/>
  <c r="M192" i="7"/>
  <c r="I192" i="7"/>
  <c r="I208" i="7"/>
  <c r="M208" i="7"/>
  <c r="I220" i="7"/>
  <c r="M220" i="7"/>
  <c r="M228" i="7"/>
  <c r="I228" i="7"/>
  <c r="M234" i="7"/>
  <c r="I234" i="7"/>
  <c r="R29" i="10"/>
  <c r="R30" i="10" s="1"/>
  <c r="Q29" i="10"/>
  <c r="D105" i="10" s="1"/>
  <c r="O29" i="10"/>
  <c r="C29" i="10"/>
  <c r="H26" i="10"/>
  <c r="I26" i="10" s="1"/>
  <c r="H25" i="10"/>
  <c r="I25" i="10" s="1"/>
  <c r="H24" i="10"/>
  <c r="I24" i="10" s="1"/>
  <c r="P24" i="10"/>
  <c r="D107" i="1" s="1"/>
  <c r="N24" i="10"/>
  <c r="H23" i="10"/>
  <c r="I23" i="10" s="1"/>
  <c r="J21" i="10"/>
  <c r="D104" i="1" s="1"/>
  <c r="R21" i="10"/>
  <c r="R22" i="10" s="1"/>
  <c r="Q21" i="10"/>
  <c r="O21" i="10"/>
  <c r="C21" i="10"/>
  <c r="C20" i="10"/>
  <c r="I18" i="10"/>
  <c r="C19" i="10"/>
  <c r="C18" i="10"/>
  <c r="H17" i="10"/>
  <c r="I17" i="10" s="1"/>
  <c r="C17" i="10"/>
  <c r="P16" i="10"/>
  <c r="D106" i="1" s="1"/>
  <c r="N16" i="10"/>
  <c r="C16" i="10"/>
  <c r="H15" i="10"/>
  <c r="I15" i="10" s="1"/>
  <c r="C15" i="10"/>
  <c r="C14" i="10"/>
  <c r="O13" i="10"/>
  <c r="C13" i="10"/>
  <c r="I12" i="10"/>
  <c r="I11" i="10"/>
  <c r="D11" i="10"/>
  <c r="I10" i="10"/>
  <c r="I9" i="10"/>
  <c r="I8" i="10"/>
  <c r="O7" i="10"/>
  <c r="I7" i="10"/>
  <c r="O6" i="10"/>
  <c r="I6" i="10"/>
  <c r="O5" i="10"/>
  <c r="I5" i="10"/>
  <c r="C176" i="7"/>
  <c r="P3" i="10"/>
  <c r="J3" i="10"/>
  <c r="D3" i="10"/>
  <c r="K103" i="8"/>
  <c r="C173" i="7" s="1"/>
  <c r="K102" i="8"/>
  <c r="C172" i="7" s="1"/>
  <c r="K101" i="8"/>
  <c r="C171" i="7" s="1"/>
  <c r="D101" i="8"/>
  <c r="D171" i="7" s="1"/>
  <c r="K100" i="8"/>
  <c r="C170" i="7" s="1"/>
  <c r="D100" i="8"/>
  <c r="K98" i="8"/>
  <c r="C168" i="7" s="1"/>
  <c r="K97" i="8"/>
  <c r="C167" i="7" s="1"/>
  <c r="K96" i="8"/>
  <c r="C166" i="7" s="1"/>
  <c r="D96" i="8"/>
  <c r="K95" i="8"/>
  <c r="C165" i="7" s="1"/>
  <c r="D95" i="8"/>
  <c r="K94" i="8"/>
  <c r="C164" i="7" s="1"/>
  <c r="D94" i="8"/>
  <c r="K93" i="8"/>
  <c r="C163" i="7" s="1"/>
  <c r="K92" i="8"/>
  <c r="C162" i="7" s="1"/>
  <c r="K91" i="8"/>
  <c r="C161" i="7" s="1"/>
  <c r="D91" i="8"/>
  <c r="K88" i="8"/>
  <c r="C158" i="7" s="1"/>
  <c r="K87" i="8"/>
  <c r="C157" i="7" s="1"/>
  <c r="K86" i="8"/>
  <c r="C156" i="7" s="1"/>
  <c r="D86" i="8"/>
  <c r="K85" i="8"/>
  <c r="C155" i="7" s="1"/>
  <c r="D85" i="8"/>
  <c r="D155" i="7" s="1"/>
  <c r="K84" i="8"/>
  <c r="C154" i="7" s="1"/>
  <c r="D84" i="8"/>
  <c r="K83" i="8"/>
  <c r="C153" i="7" s="1"/>
  <c r="K82" i="8"/>
  <c r="C152" i="7" s="1"/>
  <c r="K81" i="8"/>
  <c r="C151" i="7" s="1"/>
  <c r="D81" i="8"/>
  <c r="D151" i="7" s="1"/>
  <c r="K80" i="8"/>
  <c r="C150" i="7" s="1"/>
  <c r="D80" i="8"/>
  <c r="K79" i="8"/>
  <c r="C149" i="7" s="1"/>
  <c r="D79" i="8"/>
  <c r="K78" i="8"/>
  <c r="C148" i="7" s="1"/>
  <c r="K77" i="8"/>
  <c r="C147" i="7" s="1"/>
  <c r="K76" i="8"/>
  <c r="C146" i="7" s="1"/>
  <c r="D76" i="8"/>
  <c r="K73" i="8"/>
  <c r="C143" i="7" s="1"/>
  <c r="K72" i="8"/>
  <c r="C142" i="7" s="1"/>
  <c r="D72" i="8"/>
  <c r="K71" i="8"/>
  <c r="C141" i="7" s="1"/>
  <c r="D71" i="8"/>
  <c r="K70" i="8"/>
  <c r="C140" i="7" s="1"/>
  <c r="D70" i="8"/>
  <c r="K69" i="8"/>
  <c r="C139" i="7" s="1"/>
  <c r="H139" i="7" s="1"/>
  <c r="I139" i="7" s="1"/>
  <c r="D69" i="8"/>
  <c r="D139" i="7" s="1"/>
  <c r="C69" i="8"/>
  <c r="K68" i="8"/>
  <c r="C138" i="7" s="1"/>
  <c r="K67" i="8"/>
  <c r="C137" i="7" s="1"/>
  <c r="K66" i="8"/>
  <c r="C136" i="7" s="1"/>
  <c r="D66" i="8"/>
  <c r="K65" i="8"/>
  <c r="C135" i="7" s="1"/>
  <c r="D65" i="8"/>
  <c r="D135" i="7" s="1"/>
  <c r="K64" i="8"/>
  <c r="C134" i="7" s="1"/>
  <c r="D64" i="8"/>
  <c r="K63" i="8"/>
  <c r="C133" i="7" s="1"/>
  <c r="K62" i="8"/>
  <c r="C132" i="7" s="1"/>
  <c r="K61" i="8"/>
  <c r="C131" i="7" s="1"/>
  <c r="D61" i="8"/>
  <c r="D131" i="7" s="1"/>
  <c r="K60" i="8"/>
  <c r="C130" i="7" s="1"/>
  <c r="D60" i="8"/>
  <c r="K59" i="8"/>
  <c r="C129" i="7" s="1"/>
  <c r="D59" i="8"/>
  <c r="K58" i="8"/>
  <c r="C128" i="7" s="1"/>
  <c r="K57" i="8"/>
  <c r="C127" i="7" s="1"/>
  <c r="K56" i="8"/>
  <c r="C126" i="7" s="1"/>
  <c r="D56" i="8"/>
  <c r="K55" i="8"/>
  <c r="C125" i="7" s="1"/>
  <c r="D55" i="8"/>
  <c r="K54" i="8"/>
  <c r="C124" i="7" s="1"/>
  <c r="D54" i="8"/>
  <c r="K53" i="8"/>
  <c r="C123" i="7" s="1"/>
  <c r="K52" i="8"/>
  <c r="C122" i="7" s="1"/>
  <c r="K51" i="8"/>
  <c r="C121" i="7" s="1"/>
  <c r="D51" i="8"/>
  <c r="K50" i="8"/>
  <c r="C120" i="7" s="1"/>
  <c r="D50" i="8"/>
  <c r="K49" i="8"/>
  <c r="C119" i="7" s="1"/>
  <c r="D49" i="8"/>
  <c r="D119" i="7" s="1"/>
  <c r="K48" i="8"/>
  <c r="C118" i="7" s="1"/>
  <c r="D48" i="8"/>
  <c r="K47" i="8"/>
  <c r="C117" i="7" s="1"/>
  <c r="D47" i="8"/>
  <c r="K46" i="8"/>
  <c r="C116" i="7" s="1"/>
  <c r="D46" i="8"/>
  <c r="L32" i="8"/>
  <c r="L33" i="8" s="1"/>
  <c r="K32" i="8"/>
  <c r="D97" i="8" s="1"/>
  <c r="K90" i="8"/>
  <c r="C160" i="7" s="1"/>
  <c r="K99" i="8"/>
  <c r="C169" i="7" s="1"/>
  <c r="K89" i="8"/>
  <c r="C159" i="7" s="1"/>
  <c r="P27" i="8"/>
  <c r="J27" i="8"/>
  <c r="D96" i="1" s="1"/>
  <c r="D27" i="8"/>
  <c r="Q25" i="8"/>
  <c r="D88" i="8" s="1"/>
  <c r="R24" i="8"/>
  <c r="R25" i="8" s="1"/>
  <c r="Q24" i="8"/>
  <c r="L24" i="8"/>
  <c r="L25" i="8" s="1"/>
  <c r="K24" i="8"/>
  <c r="K25" i="8" s="1"/>
  <c r="K75" i="8"/>
  <c r="C145" i="7" s="1"/>
  <c r="K74" i="8"/>
  <c r="C144" i="7" s="1"/>
  <c r="P19" i="8"/>
  <c r="D99" i="1" s="1"/>
  <c r="J19" i="8"/>
  <c r="D95" i="1" s="1"/>
  <c r="D19" i="8"/>
  <c r="R17" i="8"/>
  <c r="Q17" i="8"/>
  <c r="L17" i="8"/>
  <c r="R16" i="8"/>
  <c r="Q16" i="8"/>
  <c r="L16" i="8"/>
  <c r="K16" i="8"/>
  <c r="P11" i="8"/>
  <c r="D98" i="1" s="1"/>
  <c r="J11" i="8"/>
  <c r="D94" i="1" s="1"/>
  <c r="R9" i="8"/>
  <c r="K45" i="8"/>
  <c r="C115" i="7" s="1"/>
  <c r="R8" i="8"/>
  <c r="Q8" i="8"/>
  <c r="Q9" i="8" s="1"/>
  <c r="L8" i="8"/>
  <c r="L9" i="8" s="1"/>
  <c r="K8" i="8"/>
  <c r="K9" i="8" s="1"/>
  <c r="K44" i="8"/>
  <c r="C114" i="7" s="1"/>
  <c r="K43" i="8"/>
  <c r="C113" i="7" s="1"/>
  <c r="K42" i="8"/>
  <c r="C112" i="7" s="1"/>
  <c r="K41" i="8"/>
  <c r="C111" i="7" s="1"/>
  <c r="P3" i="8"/>
  <c r="D97" i="1" s="1"/>
  <c r="J3" i="8"/>
  <c r="D93" i="1" s="1"/>
  <c r="D3" i="8"/>
  <c r="K103" i="9"/>
  <c r="C108" i="7" s="1"/>
  <c r="K102" i="9"/>
  <c r="C107" i="7" s="1"/>
  <c r="K101" i="9"/>
  <c r="C106" i="7" s="1"/>
  <c r="D101" i="9"/>
  <c r="K98" i="9"/>
  <c r="C103" i="7" s="1"/>
  <c r="K97" i="9"/>
  <c r="C102" i="7" s="1"/>
  <c r="K96" i="9"/>
  <c r="C101" i="7" s="1"/>
  <c r="D96" i="9"/>
  <c r="K93" i="9"/>
  <c r="C98" i="7" s="1"/>
  <c r="K92" i="9"/>
  <c r="C97" i="7" s="1"/>
  <c r="K91" i="9"/>
  <c r="C96" i="7" s="1"/>
  <c r="D91" i="9"/>
  <c r="K88" i="9"/>
  <c r="C93" i="7" s="1"/>
  <c r="K87" i="9"/>
  <c r="C92" i="7" s="1"/>
  <c r="K86" i="9"/>
  <c r="C91" i="7" s="1"/>
  <c r="D86" i="9"/>
  <c r="K83" i="9"/>
  <c r="C88" i="7" s="1"/>
  <c r="K82" i="9"/>
  <c r="C87" i="7" s="1"/>
  <c r="K81" i="9"/>
  <c r="C86" i="7" s="1"/>
  <c r="D81" i="9"/>
  <c r="K78" i="9"/>
  <c r="C83" i="7" s="1"/>
  <c r="K77" i="9"/>
  <c r="C82" i="7" s="1"/>
  <c r="K76" i="9"/>
  <c r="C81" i="7" s="1"/>
  <c r="D76" i="9"/>
  <c r="K73" i="9"/>
  <c r="C78" i="7" s="1"/>
  <c r="K72" i="9"/>
  <c r="C77" i="7" s="1"/>
  <c r="K71" i="9"/>
  <c r="C76" i="7" s="1"/>
  <c r="D71" i="9"/>
  <c r="K70" i="9"/>
  <c r="C75" i="7" s="1"/>
  <c r="D70" i="9"/>
  <c r="K69" i="9"/>
  <c r="C74" i="7" s="1"/>
  <c r="D69" i="9"/>
  <c r="K68" i="9"/>
  <c r="C73" i="7" s="1"/>
  <c r="D68" i="9"/>
  <c r="K60" i="9"/>
  <c r="C65" i="7" s="1"/>
  <c r="K59" i="9"/>
  <c r="C64" i="7" s="1"/>
  <c r="K55" i="9"/>
  <c r="C60" i="7" s="1"/>
  <c r="K54" i="9"/>
  <c r="C59" i="7" s="1"/>
  <c r="K53" i="9"/>
  <c r="C58" i="7" s="1"/>
  <c r="D53" i="9"/>
  <c r="K50" i="9"/>
  <c r="C55" i="7" s="1"/>
  <c r="K49" i="9"/>
  <c r="C54" i="7" s="1"/>
  <c r="K48" i="9"/>
  <c r="C53" i="7" s="1"/>
  <c r="D48" i="9"/>
  <c r="K45" i="9"/>
  <c r="C50" i="7" s="1"/>
  <c r="K44" i="9"/>
  <c r="C49" i="7" s="1"/>
  <c r="K43" i="9"/>
  <c r="C48" i="7" s="1"/>
  <c r="K95" i="9"/>
  <c r="C100" i="7" s="1"/>
  <c r="K90" i="9"/>
  <c r="C95" i="7" s="1"/>
  <c r="K99" i="9"/>
  <c r="C104" i="7" s="1"/>
  <c r="K94" i="9"/>
  <c r="C99" i="7" s="1"/>
  <c r="K89" i="9"/>
  <c r="C94" i="7" s="1"/>
  <c r="P27" i="9"/>
  <c r="D89" i="1" s="1"/>
  <c r="J27" i="9"/>
  <c r="D27" i="9"/>
  <c r="D82" i="1" s="1"/>
  <c r="K85" i="9"/>
  <c r="C90" i="7" s="1"/>
  <c r="K80" i="9"/>
  <c r="C85" i="7" s="1"/>
  <c r="K84" i="9"/>
  <c r="C89" i="7" s="1"/>
  <c r="K79" i="9"/>
  <c r="C84" i="7" s="1"/>
  <c r="P19" i="9"/>
  <c r="K67" i="9"/>
  <c r="C72" i="7" s="1"/>
  <c r="D19" i="9"/>
  <c r="D81" i="1" s="1"/>
  <c r="K66" i="9"/>
  <c r="C71" i="7" s="1"/>
  <c r="K65" i="9"/>
  <c r="C70" i="7" s="1"/>
  <c r="K64" i="9"/>
  <c r="C69" i="7" s="1"/>
  <c r="K63" i="9"/>
  <c r="C68" i="7" s="1"/>
  <c r="K58" i="9"/>
  <c r="C63" i="7" s="1"/>
  <c r="K75" i="9"/>
  <c r="C80" i="7" s="1"/>
  <c r="K62" i="9"/>
  <c r="C67" i="7" s="1"/>
  <c r="K57" i="9"/>
  <c r="C62" i="7" s="1"/>
  <c r="K74" i="9"/>
  <c r="C79" i="7" s="1"/>
  <c r="K61" i="9"/>
  <c r="C66" i="7" s="1"/>
  <c r="K56" i="9"/>
  <c r="C61" i="7" s="1"/>
  <c r="P11" i="9"/>
  <c r="J11" i="9"/>
  <c r="D11" i="9"/>
  <c r="K47" i="9"/>
  <c r="C52" i="7" s="1"/>
  <c r="K42" i="9"/>
  <c r="C47" i="7" s="1"/>
  <c r="K51" i="9"/>
  <c r="C56" i="7" s="1"/>
  <c r="K46" i="9"/>
  <c r="C51" i="7" s="1"/>
  <c r="K41" i="9"/>
  <c r="C46" i="7" s="1"/>
  <c r="P3" i="9"/>
  <c r="J3" i="9"/>
  <c r="D3" i="9"/>
  <c r="H42" i="13"/>
  <c r="F42" i="13"/>
  <c r="H41" i="13"/>
  <c r="F41" i="13"/>
  <c r="H40" i="13"/>
  <c r="F40" i="13"/>
  <c r="H38" i="13"/>
  <c r="F38" i="13"/>
  <c r="H37" i="13"/>
  <c r="F37" i="13"/>
  <c r="J29" i="13"/>
  <c r="H29" i="13"/>
  <c r="H28" i="13"/>
  <c r="J27" i="13"/>
  <c r="H27" i="13"/>
  <c r="J25" i="13"/>
  <c r="H25" i="13"/>
  <c r="J24" i="13"/>
  <c r="H24" i="13"/>
  <c r="J23" i="13"/>
  <c r="H23" i="13"/>
  <c r="J22" i="13"/>
  <c r="H22" i="13"/>
  <c r="J21" i="13"/>
  <c r="H21" i="13"/>
  <c r="J20" i="13"/>
  <c r="H20" i="13"/>
  <c r="J19" i="13"/>
  <c r="H19" i="13"/>
  <c r="J18" i="13"/>
  <c r="H18" i="13"/>
  <c r="H14" i="13"/>
  <c r="F14" i="13"/>
  <c r="H13" i="13"/>
  <c r="F13" i="13"/>
  <c r="H12" i="13"/>
  <c r="F12" i="13"/>
  <c r="H11" i="13"/>
  <c r="F11" i="13"/>
  <c r="H10" i="13"/>
  <c r="F10" i="13"/>
  <c r="H9" i="13"/>
  <c r="F9" i="13"/>
  <c r="H8" i="13"/>
  <c r="F8" i="13"/>
  <c r="H7" i="13"/>
  <c r="F7" i="13"/>
  <c r="H6" i="13"/>
  <c r="F6" i="13"/>
  <c r="H5" i="13"/>
  <c r="I243" i="7"/>
  <c r="H171" i="7"/>
  <c r="I171" i="7" s="1"/>
  <c r="H151" i="7"/>
  <c r="I151" i="7" s="1"/>
  <c r="H119" i="7"/>
  <c r="M119" i="7" s="1"/>
  <c r="I43" i="7"/>
  <c r="I41" i="7"/>
  <c r="I38" i="7"/>
  <c r="I35" i="7"/>
  <c r="I32" i="7"/>
  <c r="I30" i="7"/>
  <c r="I27" i="7"/>
  <c r="I26" i="7"/>
  <c r="I25" i="7"/>
  <c r="I9" i="7"/>
  <c r="I7" i="7"/>
  <c r="D14" i="6"/>
  <c r="D9" i="6"/>
  <c r="H28" i="5"/>
  <c r="I28" i="5" s="1"/>
  <c r="P24" i="5"/>
  <c r="J21" i="5"/>
  <c r="H17" i="5"/>
  <c r="I17" i="5" s="1"/>
  <c r="N16" i="5"/>
  <c r="I16" i="5"/>
  <c r="H16" i="5"/>
  <c r="D11" i="5"/>
  <c r="P3" i="5"/>
  <c r="J3" i="5"/>
  <c r="D3" i="5"/>
  <c r="K103" i="4"/>
  <c r="K102" i="4"/>
  <c r="K101" i="4"/>
  <c r="D101" i="4"/>
  <c r="C101" i="4"/>
  <c r="K100" i="4"/>
  <c r="D100" i="4"/>
  <c r="C100" i="4" s="1"/>
  <c r="K99" i="4"/>
  <c r="D99" i="4"/>
  <c r="C99" i="4" s="1"/>
  <c r="K98" i="4"/>
  <c r="K97" i="4"/>
  <c r="K96" i="4"/>
  <c r="D96" i="4"/>
  <c r="C96" i="4" s="1"/>
  <c r="K95" i="4"/>
  <c r="D95" i="4"/>
  <c r="C95" i="4" s="1"/>
  <c r="K94" i="4"/>
  <c r="D94" i="4"/>
  <c r="C94" i="4" s="1"/>
  <c r="K93" i="4"/>
  <c r="K92" i="4"/>
  <c r="D92" i="4"/>
  <c r="C92" i="4" s="1"/>
  <c r="K91" i="4"/>
  <c r="D91" i="4"/>
  <c r="C91" i="4" s="1"/>
  <c r="K90" i="4"/>
  <c r="D90" i="4"/>
  <c r="C90" i="4" s="1"/>
  <c r="K89" i="4"/>
  <c r="D89" i="4"/>
  <c r="C89" i="4"/>
  <c r="K88" i="4"/>
  <c r="K87" i="4"/>
  <c r="K86" i="4"/>
  <c r="D86" i="4"/>
  <c r="C86" i="4" s="1"/>
  <c r="K85" i="4"/>
  <c r="D85" i="4"/>
  <c r="C85" i="4"/>
  <c r="K84" i="4"/>
  <c r="D84" i="4"/>
  <c r="C84" i="4" s="1"/>
  <c r="K83" i="4"/>
  <c r="K82" i="4"/>
  <c r="K81" i="4"/>
  <c r="D81" i="4"/>
  <c r="C81" i="4"/>
  <c r="K80" i="4"/>
  <c r="D80" i="4"/>
  <c r="C80" i="4" s="1"/>
  <c r="K79" i="4"/>
  <c r="D79" i="4"/>
  <c r="C79" i="4" s="1"/>
  <c r="K78" i="4"/>
  <c r="K77" i="4"/>
  <c r="K76" i="4"/>
  <c r="D76" i="4"/>
  <c r="C76" i="4" s="1"/>
  <c r="K75" i="4"/>
  <c r="D75" i="4"/>
  <c r="C75" i="4" s="1"/>
  <c r="K74" i="4"/>
  <c r="D74" i="4"/>
  <c r="C74" i="4" s="1"/>
  <c r="K73" i="4"/>
  <c r="K72" i="4"/>
  <c r="K71" i="4"/>
  <c r="D71" i="4"/>
  <c r="C71" i="4" s="1"/>
  <c r="K70" i="4"/>
  <c r="D70" i="4"/>
  <c r="C70" i="4" s="1"/>
  <c r="K69" i="4"/>
  <c r="D69" i="4"/>
  <c r="C69" i="4" s="1"/>
  <c r="K68" i="4"/>
  <c r="K67" i="4"/>
  <c r="K66" i="4"/>
  <c r="D66" i="4"/>
  <c r="C66" i="4" s="1"/>
  <c r="K65" i="4"/>
  <c r="D65" i="4"/>
  <c r="C65" i="4" s="1"/>
  <c r="K64" i="4"/>
  <c r="D64" i="4"/>
  <c r="C64" i="4" s="1"/>
  <c r="K63" i="4"/>
  <c r="K62" i="4"/>
  <c r="K61" i="4"/>
  <c r="D61" i="4"/>
  <c r="C61" i="4" s="1"/>
  <c r="K60" i="4"/>
  <c r="D60" i="4"/>
  <c r="C60" i="4" s="1"/>
  <c r="K59" i="4"/>
  <c r="D59" i="4"/>
  <c r="C59" i="4" s="1"/>
  <c r="K58" i="4"/>
  <c r="K57" i="4"/>
  <c r="K56" i="4"/>
  <c r="D56" i="4"/>
  <c r="C56" i="4" s="1"/>
  <c r="K55" i="4"/>
  <c r="D55" i="4"/>
  <c r="C55" i="4" s="1"/>
  <c r="K54" i="4"/>
  <c r="D54" i="4"/>
  <c r="C54" i="4" s="1"/>
  <c r="K53" i="4"/>
  <c r="K52" i="4"/>
  <c r="D52" i="4"/>
  <c r="C52" i="4" s="1"/>
  <c r="K51" i="4"/>
  <c r="D51" i="4"/>
  <c r="C51" i="4" s="1"/>
  <c r="K50" i="4"/>
  <c r="D50" i="4"/>
  <c r="C50" i="4" s="1"/>
  <c r="K49" i="4"/>
  <c r="D49" i="4"/>
  <c r="C49" i="4" s="1"/>
  <c r="K48" i="4"/>
  <c r="D48" i="4"/>
  <c r="C48" i="4" s="1"/>
  <c r="K47" i="4"/>
  <c r="D47" i="4"/>
  <c r="C47" i="4" s="1"/>
  <c r="K46" i="4"/>
  <c r="D46" i="4"/>
  <c r="C46" i="4" s="1"/>
  <c r="K45" i="4"/>
  <c r="D45" i="4"/>
  <c r="C45" i="4" s="1"/>
  <c r="K44" i="4"/>
  <c r="D44" i="4"/>
  <c r="C44" i="4" s="1"/>
  <c r="K43" i="4"/>
  <c r="D43" i="4"/>
  <c r="C43" i="4" s="1"/>
  <c r="K42" i="4"/>
  <c r="D42" i="4"/>
  <c r="C42" i="4" s="1"/>
  <c r="K41" i="4"/>
  <c r="D41" i="4"/>
  <c r="C41" i="4" s="1"/>
  <c r="D103" i="4"/>
  <c r="C103" i="4" s="1"/>
  <c r="D102" i="4"/>
  <c r="C102" i="4" s="1"/>
  <c r="D98" i="4"/>
  <c r="C98" i="4" s="1"/>
  <c r="D93" i="4"/>
  <c r="C93" i="4" s="1"/>
  <c r="P27" i="4"/>
  <c r="J27" i="4"/>
  <c r="D27" i="4"/>
  <c r="P19" i="4"/>
  <c r="J19" i="4"/>
  <c r="D19" i="4"/>
  <c r="D73" i="4"/>
  <c r="C73" i="4" s="1"/>
  <c r="D68" i="4"/>
  <c r="C68" i="4" s="1"/>
  <c r="D67" i="4"/>
  <c r="C67" i="4" s="1"/>
  <c r="P11" i="4"/>
  <c r="J11" i="4"/>
  <c r="D58" i="4"/>
  <c r="C58" i="4" s="1"/>
  <c r="D62" i="4"/>
  <c r="C62" i="4" s="1"/>
  <c r="D57" i="4"/>
  <c r="C57" i="4" s="1"/>
  <c r="P3" i="4"/>
  <c r="J3" i="4"/>
  <c r="D3" i="4"/>
  <c r="L103" i="3"/>
  <c r="E103" i="3"/>
  <c r="D103" i="3" s="1"/>
  <c r="L102" i="3"/>
  <c r="E102" i="3"/>
  <c r="D102" i="3" s="1"/>
  <c r="L101" i="3"/>
  <c r="E101" i="3"/>
  <c r="D101" i="3" s="1"/>
  <c r="L100" i="3"/>
  <c r="E100" i="3"/>
  <c r="D100" i="3" s="1"/>
  <c r="L99" i="3"/>
  <c r="E99" i="3"/>
  <c r="D99" i="3" s="1"/>
  <c r="L98" i="3"/>
  <c r="E98" i="3"/>
  <c r="D98" i="3" s="1"/>
  <c r="L97" i="3"/>
  <c r="E97" i="3"/>
  <c r="D97" i="3" s="1"/>
  <c r="L96" i="3"/>
  <c r="E96" i="3"/>
  <c r="D96" i="3" s="1"/>
  <c r="L95" i="3"/>
  <c r="E95" i="3"/>
  <c r="D95" i="3" s="1"/>
  <c r="L94" i="3"/>
  <c r="E94" i="3"/>
  <c r="D94" i="3"/>
  <c r="L93" i="3"/>
  <c r="E93" i="3"/>
  <c r="D93" i="3" s="1"/>
  <c r="L92" i="3"/>
  <c r="E92" i="3"/>
  <c r="D92" i="3" s="1"/>
  <c r="L91" i="3"/>
  <c r="E91" i="3"/>
  <c r="D91" i="3" s="1"/>
  <c r="L90" i="3"/>
  <c r="E90" i="3"/>
  <c r="D90" i="3" s="1"/>
  <c r="L89" i="3"/>
  <c r="E89" i="3"/>
  <c r="D89" i="3" s="1"/>
  <c r="L88" i="3"/>
  <c r="E88" i="3"/>
  <c r="D88" i="3" s="1"/>
  <c r="L87" i="3"/>
  <c r="E87" i="3"/>
  <c r="D87" i="3" s="1"/>
  <c r="L86" i="3"/>
  <c r="E86" i="3"/>
  <c r="D86" i="3" s="1"/>
  <c r="L85" i="3"/>
  <c r="E85" i="3"/>
  <c r="D85" i="3" s="1"/>
  <c r="L84" i="3"/>
  <c r="E84" i="3"/>
  <c r="D84" i="3" s="1"/>
  <c r="L83" i="3"/>
  <c r="E83" i="3"/>
  <c r="D83" i="3" s="1"/>
  <c r="L82" i="3"/>
  <c r="E82" i="3"/>
  <c r="D82" i="3" s="1"/>
  <c r="L81" i="3"/>
  <c r="E81" i="3"/>
  <c r="D81" i="3" s="1"/>
  <c r="L80" i="3"/>
  <c r="E80" i="3"/>
  <c r="D80" i="3" s="1"/>
  <c r="L79" i="3"/>
  <c r="E79" i="3"/>
  <c r="D79" i="3" s="1"/>
  <c r="L78" i="3"/>
  <c r="E78" i="3"/>
  <c r="D78" i="3" s="1"/>
  <c r="L77" i="3"/>
  <c r="E77" i="3"/>
  <c r="D77" i="3" s="1"/>
  <c r="L76" i="3"/>
  <c r="E76" i="3"/>
  <c r="D76" i="3" s="1"/>
  <c r="L75" i="3"/>
  <c r="E75" i="3"/>
  <c r="D75" i="3" s="1"/>
  <c r="L74" i="3"/>
  <c r="E74" i="3"/>
  <c r="D74" i="3" s="1"/>
  <c r="L73" i="3"/>
  <c r="E73" i="3"/>
  <c r="D73" i="3" s="1"/>
  <c r="L72" i="3"/>
  <c r="E72" i="3"/>
  <c r="D72" i="3" s="1"/>
  <c r="L71" i="3"/>
  <c r="E71" i="3"/>
  <c r="D71" i="3" s="1"/>
  <c r="L70" i="3"/>
  <c r="E70" i="3"/>
  <c r="D70" i="3" s="1"/>
  <c r="L69" i="3"/>
  <c r="E69" i="3"/>
  <c r="D69" i="3" s="1"/>
  <c r="L68" i="3"/>
  <c r="E68" i="3"/>
  <c r="D68" i="3" s="1"/>
  <c r="L67" i="3"/>
  <c r="E67" i="3"/>
  <c r="D67" i="3" s="1"/>
  <c r="L66" i="3"/>
  <c r="E66" i="3"/>
  <c r="D66" i="3" s="1"/>
  <c r="L65" i="3"/>
  <c r="E65" i="3"/>
  <c r="D65" i="3" s="1"/>
  <c r="L64" i="3"/>
  <c r="E64" i="3"/>
  <c r="D64" i="3" s="1"/>
  <c r="L63" i="3"/>
  <c r="E63" i="3"/>
  <c r="D63" i="3" s="1"/>
  <c r="L62" i="3"/>
  <c r="E62" i="3"/>
  <c r="D62" i="3" s="1"/>
  <c r="L61" i="3"/>
  <c r="E61" i="3"/>
  <c r="D61" i="3" s="1"/>
  <c r="L60" i="3"/>
  <c r="E60" i="3"/>
  <c r="D60" i="3" s="1"/>
  <c r="L59" i="3"/>
  <c r="E59" i="3"/>
  <c r="D59" i="3" s="1"/>
  <c r="L58" i="3"/>
  <c r="E58" i="3"/>
  <c r="D58" i="3" s="1"/>
  <c r="L57" i="3"/>
  <c r="E57" i="3"/>
  <c r="D57" i="3" s="1"/>
  <c r="L56" i="3"/>
  <c r="E56" i="3"/>
  <c r="D56" i="3" s="1"/>
  <c r="L55" i="3"/>
  <c r="E55" i="3"/>
  <c r="D55" i="3" s="1"/>
  <c r="L54" i="3"/>
  <c r="E54" i="3"/>
  <c r="D54" i="3" s="1"/>
  <c r="L53" i="3"/>
  <c r="E53" i="3"/>
  <c r="D53" i="3" s="1"/>
  <c r="L52" i="3"/>
  <c r="E52" i="3"/>
  <c r="D52" i="3" s="1"/>
  <c r="L51" i="3"/>
  <c r="E51" i="3"/>
  <c r="D51" i="3" s="1"/>
  <c r="L50" i="3"/>
  <c r="E50" i="3"/>
  <c r="D50" i="3" s="1"/>
  <c r="L49" i="3"/>
  <c r="E49" i="3"/>
  <c r="D49" i="3" s="1"/>
  <c r="L48" i="3"/>
  <c r="E48" i="3"/>
  <c r="D48" i="3" s="1"/>
  <c r="L47" i="3"/>
  <c r="E47" i="3"/>
  <c r="D47" i="3" s="1"/>
  <c r="L46" i="3"/>
  <c r="E46" i="3"/>
  <c r="D46" i="3" s="1"/>
  <c r="L45" i="3"/>
  <c r="E45" i="3"/>
  <c r="D45" i="3" s="1"/>
  <c r="L44" i="3"/>
  <c r="E44" i="3"/>
  <c r="D44" i="3" s="1"/>
  <c r="L43" i="3"/>
  <c r="E43" i="3"/>
  <c r="D43" i="3" s="1"/>
  <c r="L42" i="3"/>
  <c r="E42" i="3"/>
  <c r="D42" i="3" s="1"/>
  <c r="L41" i="3"/>
  <c r="E41" i="3"/>
  <c r="D41" i="3" s="1"/>
  <c r="Q27" i="3"/>
  <c r="K27" i="3"/>
  <c r="E27" i="3"/>
  <c r="Q19" i="3"/>
  <c r="E19" i="3"/>
  <c r="Q11" i="3"/>
  <c r="K11" i="3"/>
  <c r="E11" i="3"/>
  <c r="Q3" i="3"/>
  <c r="K3" i="3"/>
  <c r="E3" i="3"/>
  <c r="H42" i="14"/>
  <c r="F42" i="14"/>
  <c r="B41" i="7"/>
  <c r="C41" i="7"/>
  <c r="H41" i="14"/>
  <c r="F41" i="14"/>
  <c r="B40" i="7"/>
  <c r="C40" i="7"/>
  <c r="H40" i="14"/>
  <c r="F40" i="14"/>
  <c r="B39" i="7"/>
  <c r="C39" i="7"/>
  <c r="H38" i="14"/>
  <c r="F38" i="14"/>
  <c r="B38" i="7"/>
  <c r="C38" i="7"/>
  <c r="H37" i="14"/>
  <c r="F37" i="14"/>
  <c r="B37" i="7"/>
  <c r="C37" i="7"/>
  <c r="B35" i="7"/>
  <c r="C35" i="7"/>
  <c r="B34" i="7"/>
  <c r="C34" i="7"/>
  <c r="B33" i="7"/>
  <c r="C33" i="7"/>
  <c r="J29" i="14"/>
  <c r="H29" i="14"/>
  <c r="B32" i="7"/>
  <c r="C32" i="7"/>
  <c r="H28" i="14"/>
  <c r="B31" i="7"/>
  <c r="C31" i="7"/>
  <c r="J27" i="14"/>
  <c r="H27" i="14"/>
  <c r="B30" i="7"/>
  <c r="C30" i="7"/>
  <c r="B29" i="7"/>
  <c r="C29" i="7"/>
  <c r="J25" i="14"/>
  <c r="H25" i="14"/>
  <c r="B28" i="7"/>
  <c r="C28" i="7"/>
  <c r="J24" i="14"/>
  <c r="H24" i="14"/>
  <c r="B27" i="7"/>
  <c r="C27" i="7"/>
  <c r="J23" i="14"/>
  <c r="H23" i="14"/>
  <c r="B26" i="7"/>
  <c r="C26" i="7"/>
  <c r="J22" i="14"/>
  <c r="H22" i="14"/>
  <c r="B25" i="7"/>
  <c r="C25" i="7"/>
  <c r="J21" i="14"/>
  <c r="H21" i="14"/>
  <c r="B24" i="7"/>
  <c r="C24" i="7"/>
  <c r="J20" i="14"/>
  <c r="H20" i="14"/>
  <c r="B23" i="7"/>
  <c r="C23" i="7"/>
  <c r="B22" i="7"/>
  <c r="C22" i="7"/>
  <c r="B21" i="7"/>
  <c r="C21" i="7"/>
  <c r="H14" i="14"/>
  <c r="F14" i="14"/>
  <c r="B19" i="7"/>
  <c r="C19" i="7"/>
  <c r="B18" i="7"/>
  <c r="C18" i="7"/>
  <c r="H12" i="14"/>
  <c r="F12" i="14"/>
  <c r="B17" i="7"/>
  <c r="C17" i="7"/>
  <c r="H11" i="14"/>
  <c r="F11" i="14"/>
  <c r="B16" i="7"/>
  <c r="C16" i="7"/>
  <c r="H10" i="14"/>
  <c r="F10" i="14"/>
  <c r="B15" i="7"/>
  <c r="C15" i="7"/>
  <c r="H9" i="14"/>
  <c r="F9" i="14"/>
  <c r="B14" i="7"/>
  <c r="C14" i="7"/>
  <c r="H8" i="14"/>
  <c r="F8" i="14"/>
  <c r="B13" i="7"/>
  <c r="C13" i="7"/>
  <c r="H7" i="14"/>
  <c r="F7" i="14"/>
  <c r="B12" i="7"/>
  <c r="C12" i="7"/>
  <c r="H6" i="14"/>
  <c r="F6" i="14"/>
  <c r="B11" i="7"/>
  <c r="C11" i="7"/>
  <c r="H5" i="14"/>
  <c r="F5" i="14"/>
  <c r="B10" i="7"/>
  <c r="C10" i="7"/>
  <c r="D78" i="1"/>
  <c r="D77" i="1"/>
  <c r="D76" i="1"/>
  <c r="D75" i="1"/>
  <c r="D74" i="1"/>
  <c r="D73" i="1"/>
  <c r="D72" i="1"/>
  <c r="D71" i="1"/>
  <c r="D70" i="1"/>
  <c r="D69" i="1"/>
  <c r="D68" i="1"/>
  <c r="D67" i="1"/>
  <c r="D66" i="1"/>
  <c r="D65" i="1"/>
  <c r="D64" i="1"/>
  <c r="D63" i="1"/>
  <c r="C63" i="1"/>
  <c r="B63" i="1"/>
  <c r="D62" i="1"/>
  <c r="C62" i="1"/>
  <c r="B62" i="1"/>
  <c r="D61" i="1"/>
  <c r="C61" i="1"/>
  <c r="B61" i="1"/>
  <c r="D60" i="1"/>
  <c r="C60" i="1"/>
  <c r="B60" i="1"/>
  <c r="D59" i="1"/>
  <c r="C59" i="1"/>
  <c r="B59" i="1"/>
  <c r="D58" i="1"/>
  <c r="C58" i="1"/>
  <c r="B58" i="1"/>
  <c r="D57" i="1"/>
  <c r="C57" i="1"/>
  <c r="B57" i="1"/>
  <c r="D56" i="1"/>
  <c r="C56" i="1"/>
  <c r="B56" i="1"/>
  <c r="D55" i="1"/>
  <c r="C55" i="1"/>
  <c r="B55" i="1"/>
  <c r="D54" i="1"/>
  <c r="C54" i="1"/>
  <c r="B54" i="1"/>
  <c r="D53" i="1"/>
  <c r="C53" i="1"/>
  <c r="B53" i="1"/>
  <c r="D52" i="1"/>
  <c r="C52" i="1"/>
  <c r="B52" i="1"/>
  <c r="AK46" i="1"/>
  <c r="N46" i="1"/>
  <c r="Y46" i="1" s="1"/>
  <c r="N45" i="1"/>
  <c r="AH45" i="1" s="1"/>
  <c r="N44" i="1"/>
  <c r="AL44" i="1" s="1"/>
  <c r="N42" i="1"/>
  <c r="V42" i="1" s="1"/>
  <c r="N41" i="1"/>
  <c r="AK40" i="1"/>
  <c r="AJ40" i="1"/>
  <c r="AH40" i="1"/>
  <c r="AG40" i="1"/>
  <c r="Y40" i="1"/>
  <c r="Y44" i="1" s="1"/>
  <c r="X40" i="1"/>
  <c r="V40" i="1"/>
  <c r="U40" i="1"/>
  <c r="AP36" i="1"/>
  <c r="AE36" i="1"/>
  <c r="AD36" i="1"/>
  <c r="Q36" i="1"/>
  <c r="N36" i="1"/>
  <c r="AN36" i="1" s="1"/>
  <c r="AK35" i="1"/>
  <c r="N35" i="1"/>
  <c r="Z35" i="1" s="1"/>
  <c r="G35" i="1"/>
  <c r="F31" i="14" s="1"/>
  <c r="F31" i="13" s="1"/>
  <c r="AH34" i="1"/>
  <c r="AG34" i="1"/>
  <c r="N34" i="1"/>
  <c r="AM34" i="1" s="1"/>
  <c r="N32" i="1"/>
  <c r="AL32" i="1" s="1"/>
  <c r="AQ31" i="1"/>
  <c r="AJ31" i="1"/>
  <c r="X31" i="1"/>
  <c r="N31" i="1"/>
  <c r="AI31" i="1" s="1"/>
  <c r="AP29" i="1"/>
  <c r="AO29" i="1"/>
  <c r="S29" i="1"/>
  <c r="R29" i="1"/>
  <c r="Q29" i="1"/>
  <c r="N29" i="1"/>
  <c r="AE29" i="1" s="1"/>
  <c r="N28" i="1"/>
  <c r="AI28" i="1" s="1"/>
  <c r="AQ27" i="1"/>
  <c r="AF27" i="1"/>
  <c r="AE27" i="1"/>
  <c r="X27" i="1"/>
  <c r="N27" i="1"/>
  <c r="AL27" i="1" s="1"/>
  <c r="N26" i="1"/>
  <c r="N25" i="1"/>
  <c r="AP25" i="1" s="1"/>
  <c r="N24" i="1"/>
  <c r="AE24" i="1" s="1"/>
  <c r="AQ21" i="1"/>
  <c r="AP21" i="1"/>
  <c r="AO21" i="1"/>
  <c r="AN21" i="1"/>
  <c r="AM21" i="1"/>
  <c r="AM27" i="1" s="1"/>
  <c r="AL21" i="1"/>
  <c r="AL40" i="1" s="1"/>
  <c r="AK21" i="1"/>
  <c r="AK32" i="1" s="1"/>
  <c r="AJ21" i="1"/>
  <c r="AI21" i="1"/>
  <c r="AI40" i="1" s="1"/>
  <c r="AI42" i="1" s="1"/>
  <c r="AH21" i="1"/>
  <c r="AH27" i="1" s="1"/>
  <c r="AG21" i="1"/>
  <c r="AF21" i="1"/>
  <c r="AF40" i="1" s="1"/>
  <c r="AE21" i="1"/>
  <c r="AD21" i="1"/>
  <c r="AC21" i="1"/>
  <c r="AC36" i="1" s="1"/>
  <c r="AB21" i="1"/>
  <c r="AA21" i="1"/>
  <c r="AA27" i="1" s="1"/>
  <c r="Z21" i="1"/>
  <c r="Z40" i="1" s="1"/>
  <c r="Y21" i="1"/>
  <c r="Y32" i="1" s="1"/>
  <c r="X21" i="1"/>
  <c r="W21" i="1"/>
  <c r="W40" i="1" s="1"/>
  <c r="W42" i="1" s="1"/>
  <c r="V21" i="1"/>
  <c r="V27" i="1" s="1"/>
  <c r="U21" i="1"/>
  <c r="T21" i="1"/>
  <c r="T40" i="1" s="1"/>
  <c r="S21" i="1"/>
  <c r="R21" i="1"/>
  <c r="Q21" i="1"/>
  <c r="P21" i="1"/>
  <c r="O21" i="1"/>
  <c r="O27" i="1" s="1"/>
  <c r="AI18" i="1"/>
  <c r="AD18" i="1"/>
  <c r="V18" i="1"/>
  <c r="U18" i="1"/>
  <c r="S18" i="1"/>
  <c r="N18" i="1"/>
  <c r="AF18" i="1" s="1"/>
  <c r="AP17" i="1"/>
  <c r="AD17" i="1"/>
  <c r="Y17" i="1"/>
  <c r="R17" i="1"/>
  <c r="Q17" i="1"/>
  <c r="N17" i="1"/>
  <c r="AM17" i="1" s="1"/>
  <c r="AN16" i="1"/>
  <c r="AG16" i="1"/>
  <c r="Y16" i="1"/>
  <c r="X16" i="1"/>
  <c r="W16" i="1"/>
  <c r="T16" i="1"/>
  <c r="R16" i="1"/>
  <c r="N16" i="1"/>
  <c r="AH16" i="1" s="1"/>
  <c r="AP15" i="1"/>
  <c r="AM15" i="1"/>
  <c r="AK15" i="1"/>
  <c r="AI15" i="1"/>
  <c r="AE15" i="1"/>
  <c r="AA15" i="1"/>
  <c r="U15" i="1"/>
  <c r="T15" i="1"/>
  <c r="S15" i="1"/>
  <c r="P15" i="1"/>
  <c r="N15" i="1"/>
  <c r="AL15" i="1" s="1"/>
  <c r="AK14" i="1"/>
  <c r="N14" i="1"/>
  <c r="Y14" i="1" s="1"/>
  <c r="AO13" i="1"/>
  <c r="AN13" i="1"/>
  <c r="AA13" i="1"/>
  <c r="Y13" i="1"/>
  <c r="N13" i="1"/>
  <c r="AL13" i="1" s="1"/>
  <c r="AO12" i="1"/>
  <c r="AN12" i="1"/>
  <c r="AK12" i="1"/>
  <c r="AJ12" i="1"/>
  <c r="AF12" i="1"/>
  <c r="AB12" i="1"/>
  <c r="AA12" i="1"/>
  <c r="X12" i="1"/>
  <c r="V12" i="1"/>
  <c r="T12" i="1"/>
  <c r="P12" i="1"/>
  <c r="O12" i="1"/>
  <c r="N12" i="1"/>
  <c r="AL12" i="1" s="1"/>
  <c r="AO11" i="1"/>
  <c r="AJ11" i="1"/>
  <c r="AI11" i="1"/>
  <c r="AH11" i="1"/>
  <c r="AE11" i="1"/>
  <c r="Y11" i="1"/>
  <c r="V11" i="1"/>
  <c r="U11" i="1"/>
  <c r="T11" i="1"/>
  <c r="Q11" i="1"/>
  <c r="N11" i="1"/>
  <c r="AN11" i="1" s="1"/>
  <c r="N10" i="1"/>
  <c r="AN10" i="1" s="1"/>
  <c r="AG9" i="1"/>
  <c r="U9" i="1"/>
  <c r="N9" i="1"/>
  <c r="AI9" i="1" s="1"/>
  <c r="AK44" i="1" l="1"/>
  <c r="AH42" i="1"/>
  <c r="U42" i="1"/>
  <c r="U45" i="1"/>
  <c r="V45" i="1"/>
  <c r="AG42" i="1"/>
  <c r="AG45" i="1"/>
  <c r="T42" i="1"/>
  <c r="AF42" i="1"/>
  <c r="X28" i="1"/>
  <c r="T25" i="1"/>
  <c r="X32" i="1"/>
  <c r="AQ36" i="1"/>
  <c r="AJ25" i="1"/>
  <c r="F7" i="8"/>
  <c r="E6" i="10"/>
  <c r="D42" i="10" s="1"/>
  <c r="C42" i="10" s="1"/>
  <c r="AO36" i="1"/>
  <c r="V25" i="1"/>
  <c r="S27" i="1"/>
  <c r="AJ28" i="1"/>
  <c r="T31" i="1"/>
  <c r="AA32" i="1"/>
  <c r="X35" i="1"/>
  <c r="S25" i="1"/>
  <c r="Y28" i="1"/>
  <c r="Q24" i="1"/>
  <c r="R27" i="1"/>
  <c r="AD27" i="1"/>
  <c r="AP27" i="1"/>
  <c r="W25" i="1"/>
  <c r="T27" i="1"/>
  <c r="AK28" i="1"/>
  <c r="V31" i="1"/>
  <c r="AJ32" i="1"/>
  <c r="Y35" i="1"/>
  <c r="O25" i="1"/>
  <c r="S31" i="1"/>
  <c r="S34" i="1"/>
  <c r="AE34" i="1"/>
  <c r="AQ34" i="1"/>
  <c r="X25" i="1"/>
  <c r="U27" i="1"/>
  <c r="W31" i="1"/>
  <c r="AM32" i="1"/>
  <c r="AJ35" i="1"/>
  <c r="AA25" i="1"/>
  <c r="U31" i="1"/>
  <c r="AG31" i="1"/>
  <c r="R24" i="1"/>
  <c r="AE25" i="1"/>
  <c r="AE31" i="1"/>
  <c r="T34" i="1"/>
  <c r="AD24" i="1"/>
  <c r="AF25" i="1"/>
  <c r="AF31" i="1"/>
  <c r="U34" i="1"/>
  <c r="AO24" i="1"/>
  <c r="AH25" i="1"/>
  <c r="AG27" i="1"/>
  <c r="AD29" i="1"/>
  <c r="AH31" i="1"/>
  <c r="V34" i="1"/>
  <c r="R36" i="1"/>
  <c r="AQ25" i="1"/>
  <c r="AP24" i="1"/>
  <c r="AI25" i="1"/>
  <c r="AJ27" i="1"/>
  <c r="AF34" i="1"/>
  <c r="S36" i="1"/>
  <c r="R11" i="1"/>
  <c r="V13" i="1"/>
  <c r="AK9" i="1"/>
  <c r="S11" i="1"/>
  <c r="AG11" i="1"/>
  <c r="Q12" i="1"/>
  <c r="AM12" i="1"/>
  <c r="W13" i="1"/>
  <c r="AM13" i="1"/>
  <c r="R15" i="1"/>
  <c r="AG15" i="1"/>
  <c r="U16" i="1"/>
  <c r="P17" i="1"/>
  <c r="R18" i="1"/>
  <c r="AQ18" i="1"/>
  <c r="J9" i="1"/>
  <c r="D5" i="14" s="1"/>
  <c r="D5" i="13" s="1"/>
  <c r="K5" i="9" s="1"/>
  <c r="F14" i="10" s="1"/>
  <c r="D47" i="10" s="1"/>
  <c r="C47" i="10" s="1"/>
  <c r="AC10" i="1"/>
  <c r="W11" i="1"/>
  <c r="AK11" i="1"/>
  <c r="Y12" i="1"/>
  <c r="O13" i="1"/>
  <c r="AC13" i="1"/>
  <c r="AQ13" i="1"/>
  <c r="W15" i="1"/>
  <c r="AN15" i="1"/>
  <c r="AB16" i="1"/>
  <c r="AB17" i="1"/>
  <c r="W18" i="1"/>
  <c r="AP13" i="1"/>
  <c r="AD10" i="1"/>
  <c r="X11" i="1"/>
  <c r="AM11" i="1"/>
  <c r="P13" i="1"/>
  <c r="AD13" i="1"/>
  <c r="Y15" i="1"/>
  <c r="AO15" i="1"/>
  <c r="AF16" i="1"/>
  <c r="AC17" i="1"/>
  <c r="Z18" i="1"/>
  <c r="X9" i="1"/>
  <c r="AP10" i="1"/>
  <c r="AA11" i="1"/>
  <c r="AP11" i="1"/>
  <c r="AC12" i="1"/>
  <c r="R13" i="1"/>
  <c r="AF13" i="1"/>
  <c r="AL14" i="1"/>
  <c r="AB15" i="1"/>
  <c r="AQ15" i="1"/>
  <c r="AI16" i="1"/>
  <c r="AK17" i="1"/>
  <c r="AE18" i="1"/>
  <c r="Q13" i="1"/>
  <c r="AE13" i="1"/>
  <c r="Y9" i="1"/>
  <c r="AC11" i="1"/>
  <c r="AQ11" i="1"/>
  <c r="AC15" i="1"/>
  <c r="AJ16" i="1"/>
  <c r="AN17" i="1"/>
  <c r="AG18" i="1"/>
  <c r="AB13" i="1"/>
  <c r="AO10" i="1"/>
  <c r="S13" i="1"/>
  <c r="AG13" i="1"/>
  <c r="Z9" i="1"/>
  <c r="O11" i="1"/>
  <c r="AD11" i="1"/>
  <c r="AH12" i="1"/>
  <c r="T13" i="1"/>
  <c r="AH13" i="1"/>
  <c r="O15" i="1"/>
  <c r="AD15" i="1"/>
  <c r="P16" i="1"/>
  <c r="AK16" i="1"/>
  <c r="AO17" i="1"/>
  <c r="AH18" i="1"/>
  <c r="Q10" i="1"/>
  <c r="R10" i="1"/>
  <c r="U13" i="1"/>
  <c r="AI13" i="1"/>
  <c r="AJ9" i="1"/>
  <c r="AF11" i="1"/>
  <c r="AK13" i="1"/>
  <c r="Q15" i="1"/>
  <c r="AF15" i="1"/>
  <c r="AP18" i="1"/>
  <c r="Q22" i="10"/>
  <c r="D101" i="10" s="1"/>
  <c r="D100" i="10"/>
  <c r="C105" i="10"/>
  <c r="D240" i="7"/>
  <c r="J25" i="10"/>
  <c r="K81" i="10" s="1"/>
  <c r="C216" i="7" s="1"/>
  <c r="D101" i="1"/>
  <c r="Q30" i="10"/>
  <c r="D106" i="10" s="1"/>
  <c r="J24" i="10"/>
  <c r="K80" i="10" s="1"/>
  <c r="C215" i="7" s="1"/>
  <c r="D103" i="1"/>
  <c r="J23" i="10"/>
  <c r="K79" i="10" s="1"/>
  <c r="C214" i="7" s="1"/>
  <c r="D102" i="1"/>
  <c r="J26" i="10"/>
  <c r="K82" i="10" s="1"/>
  <c r="C217" i="7" s="1"/>
  <c r="D105" i="1"/>
  <c r="D167" i="7"/>
  <c r="H167" i="7" s="1"/>
  <c r="I167" i="7" s="1"/>
  <c r="C97" i="8"/>
  <c r="C88" i="8"/>
  <c r="D158" i="7"/>
  <c r="H158" i="7" s="1"/>
  <c r="I158" i="7" s="1"/>
  <c r="D90" i="1"/>
  <c r="P5" i="10"/>
  <c r="K87" i="10" s="1"/>
  <c r="C222" i="7" s="1"/>
  <c r="D100" i="1"/>
  <c r="P8" i="10"/>
  <c r="K90" i="10" s="1"/>
  <c r="C225" i="7" s="1"/>
  <c r="C48" i="8"/>
  <c r="D118" i="7"/>
  <c r="C84" i="8"/>
  <c r="D154" i="7"/>
  <c r="H154" i="7" s="1"/>
  <c r="I154" i="7" s="1"/>
  <c r="C100" i="8"/>
  <c r="D170" i="7"/>
  <c r="H170" i="7" s="1"/>
  <c r="C49" i="8"/>
  <c r="C85" i="8"/>
  <c r="C94" i="8"/>
  <c r="D164" i="7"/>
  <c r="H164" i="7" s="1"/>
  <c r="C101" i="8"/>
  <c r="C55" i="8"/>
  <c r="D125" i="7"/>
  <c r="H125" i="7" s="1"/>
  <c r="I125" i="7" s="1"/>
  <c r="C56" i="8"/>
  <c r="D126" i="7"/>
  <c r="H126" i="7" s="1"/>
  <c r="C79" i="8"/>
  <c r="D149" i="7"/>
  <c r="H149" i="7" s="1"/>
  <c r="D67" i="8"/>
  <c r="D83" i="8"/>
  <c r="C64" i="8"/>
  <c r="D134" i="7"/>
  <c r="H134" i="7" s="1"/>
  <c r="M134" i="7" s="1"/>
  <c r="C70" i="8"/>
  <c r="D140" i="7"/>
  <c r="H140" i="7" s="1"/>
  <c r="C95" i="8"/>
  <c r="D165" i="7"/>
  <c r="H165" i="7" s="1"/>
  <c r="I165" i="7" s="1"/>
  <c r="C50" i="8"/>
  <c r="D120" i="7"/>
  <c r="H120" i="7" s="1"/>
  <c r="M120" i="7" s="1"/>
  <c r="C80" i="8"/>
  <c r="D150" i="7"/>
  <c r="H150" i="7" s="1"/>
  <c r="C86" i="8"/>
  <c r="D156" i="7"/>
  <c r="H156" i="7" s="1"/>
  <c r="I156" i="7" s="1"/>
  <c r="D87" i="8"/>
  <c r="K33" i="8"/>
  <c r="D98" i="8" s="1"/>
  <c r="C65" i="8"/>
  <c r="C71" i="8"/>
  <c r="D141" i="7"/>
  <c r="C96" i="8"/>
  <c r="D166" i="7"/>
  <c r="H166" i="7" s="1"/>
  <c r="I166" i="7" s="1"/>
  <c r="D58" i="8"/>
  <c r="C51" i="8"/>
  <c r="D121" i="7"/>
  <c r="H121" i="7" s="1"/>
  <c r="C59" i="8"/>
  <c r="D129" i="7"/>
  <c r="C81" i="8"/>
  <c r="C46" i="8"/>
  <c r="D116" i="7"/>
  <c r="H116" i="7" s="1"/>
  <c r="I116" i="7" s="1"/>
  <c r="C72" i="8"/>
  <c r="D142" i="7"/>
  <c r="H142" i="7" s="1"/>
  <c r="I142" i="7" s="1"/>
  <c r="D63" i="8"/>
  <c r="D73" i="8"/>
  <c r="C60" i="8"/>
  <c r="D130" i="7"/>
  <c r="C66" i="8"/>
  <c r="D136" i="7"/>
  <c r="D92" i="1"/>
  <c r="P7" i="10"/>
  <c r="K89" i="10" s="1"/>
  <c r="C224" i="7" s="1"/>
  <c r="C47" i="8"/>
  <c r="D117" i="7"/>
  <c r="H117" i="7" s="1"/>
  <c r="I117" i="7" s="1"/>
  <c r="C91" i="8"/>
  <c r="D161" i="7"/>
  <c r="P6" i="10"/>
  <c r="K88" i="10" s="1"/>
  <c r="C223" i="7" s="1"/>
  <c r="D91" i="1"/>
  <c r="C54" i="8"/>
  <c r="D124" i="7"/>
  <c r="H124" i="7" s="1"/>
  <c r="I124" i="7" s="1"/>
  <c r="C61" i="8"/>
  <c r="C76" i="8"/>
  <c r="D146" i="7"/>
  <c r="H146" i="7" s="1"/>
  <c r="M146" i="7" s="1"/>
  <c r="J5" i="10"/>
  <c r="K64" i="10" s="1"/>
  <c r="C199" i="7" s="1"/>
  <c r="D79" i="1"/>
  <c r="D88" i="1"/>
  <c r="J10" i="10"/>
  <c r="K69" i="10" s="1"/>
  <c r="C204" i="7" s="1"/>
  <c r="C76" i="9"/>
  <c r="D81" i="7"/>
  <c r="C91" i="9"/>
  <c r="D96" i="7"/>
  <c r="H96" i="7" s="1"/>
  <c r="M96" i="7" s="1"/>
  <c r="J12" i="10"/>
  <c r="K71" i="10" s="1"/>
  <c r="C206" i="7" s="1"/>
  <c r="D86" i="1"/>
  <c r="C68" i="9"/>
  <c r="D73" i="7"/>
  <c r="H73" i="7" s="1"/>
  <c r="I73" i="7" s="1"/>
  <c r="C48" i="9"/>
  <c r="D53" i="7"/>
  <c r="C69" i="9"/>
  <c r="D74" i="7"/>
  <c r="C81" i="9"/>
  <c r="D86" i="7"/>
  <c r="C96" i="9"/>
  <c r="D101" i="7"/>
  <c r="H101" i="7" s="1"/>
  <c r="J9" i="10"/>
  <c r="K68" i="10" s="1"/>
  <c r="C203" i="7" s="1"/>
  <c r="D85" i="1"/>
  <c r="C70" i="9"/>
  <c r="D75" i="7"/>
  <c r="H75" i="7" s="1"/>
  <c r="I75" i="7" s="1"/>
  <c r="D80" i="1"/>
  <c r="J7" i="10"/>
  <c r="K66" i="10" s="1"/>
  <c r="C201" i="7" s="1"/>
  <c r="C53" i="9"/>
  <c r="D58" i="7"/>
  <c r="H58" i="7" s="1"/>
  <c r="I58" i="7" s="1"/>
  <c r="C71" i="9"/>
  <c r="D76" i="7"/>
  <c r="H76" i="7" s="1"/>
  <c r="I76" i="7" s="1"/>
  <c r="C86" i="9"/>
  <c r="D91" i="7"/>
  <c r="H91" i="7" s="1"/>
  <c r="C101" i="9"/>
  <c r="D106" i="7"/>
  <c r="D83" i="1"/>
  <c r="J6" i="10"/>
  <c r="K65" i="10" s="1"/>
  <c r="C200" i="7" s="1"/>
  <c r="J8" i="10"/>
  <c r="K67" i="10" s="1"/>
  <c r="C202" i="7" s="1"/>
  <c r="D84" i="1"/>
  <c r="D87" i="1"/>
  <c r="J11" i="10"/>
  <c r="K70" i="10" s="1"/>
  <c r="C205" i="7" s="1"/>
  <c r="M167" i="7"/>
  <c r="M171" i="7"/>
  <c r="M166" i="7"/>
  <c r="M156" i="7"/>
  <c r="M151" i="7"/>
  <c r="M142" i="7"/>
  <c r="M139" i="7"/>
  <c r="M158" i="7"/>
  <c r="M154" i="7"/>
  <c r="D87" i="4"/>
  <c r="C87" i="4" s="1"/>
  <c r="D43" i="8"/>
  <c r="D113" i="7" s="1"/>
  <c r="I37" i="7"/>
  <c r="I18" i="7"/>
  <c r="I34" i="7"/>
  <c r="H136" i="7"/>
  <c r="I15" i="7"/>
  <c r="I23" i="7"/>
  <c r="I12" i="7"/>
  <c r="I29" i="7"/>
  <c r="H81" i="7"/>
  <c r="H130" i="7"/>
  <c r="H131" i="7"/>
  <c r="I31" i="7"/>
  <c r="I13" i="7"/>
  <c r="I16" i="7"/>
  <c r="I19" i="7"/>
  <c r="H106" i="7"/>
  <c r="I11" i="7"/>
  <c r="I14" i="7"/>
  <c r="I17" i="7"/>
  <c r="I21" i="7"/>
  <c r="I24" i="7"/>
  <c r="H141" i="7"/>
  <c r="I39" i="7"/>
  <c r="I22" i="7"/>
  <c r="I33" i="7"/>
  <c r="H155" i="7"/>
  <c r="I28" i="7"/>
  <c r="I40" i="7"/>
  <c r="H129" i="7"/>
  <c r="O32" i="1"/>
  <c r="I146" i="7"/>
  <c r="I134" i="7"/>
  <c r="D57" i="8"/>
  <c r="D62" i="8"/>
  <c r="D82" i="8"/>
  <c r="K17" i="8"/>
  <c r="D68" i="8" s="1"/>
  <c r="K52" i="9"/>
  <c r="K100" i="9"/>
  <c r="H53" i="7"/>
  <c r="H74" i="7"/>
  <c r="I119" i="7"/>
  <c r="H118" i="7"/>
  <c r="H135" i="7"/>
  <c r="H161" i="7"/>
  <c r="I10" i="7"/>
  <c r="H86" i="7"/>
  <c r="D83" i="4"/>
  <c r="C83" i="4" s="1"/>
  <c r="D53" i="4"/>
  <c r="C53" i="4" s="1"/>
  <c r="D78" i="4"/>
  <c r="C78" i="4" s="1"/>
  <c r="D72" i="4"/>
  <c r="C72" i="4" s="1"/>
  <c r="D77" i="4"/>
  <c r="C77" i="4" s="1"/>
  <c r="D97" i="4"/>
  <c r="C97" i="4" s="1"/>
  <c r="D63" i="4"/>
  <c r="C63" i="4" s="1"/>
  <c r="D82" i="4"/>
  <c r="C82" i="4" s="1"/>
  <c r="D88" i="4"/>
  <c r="C88" i="4" s="1"/>
  <c r="AC29" i="1"/>
  <c r="X44" i="1"/>
  <c r="X42" i="1"/>
  <c r="AK26" i="1"/>
  <c r="Y26" i="1"/>
  <c r="AM26" i="1"/>
  <c r="AJ26" i="1"/>
  <c r="X26" i="1"/>
  <c r="AI26" i="1"/>
  <c r="W26" i="1"/>
  <c r="AA26" i="1"/>
  <c r="AH26" i="1"/>
  <c r="V26" i="1"/>
  <c r="AG26" i="1"/>
  <c r="U26" i="1"/>
  <c r="AF26" i="1"/>
  <c r="T26" i="1"/>
  <c r="AN26" i="1"/>
  <c r="O26" i="1"/>
  <c r="AQ26" i="1"/>
  <c r="AE26" i="1"/>
  <c r="S26" i="1"/>
  <c r="AP26" i="1"/>
  <c r="AD26" i="1"/>
  <c r="R26" i="1"/>
  <c r="AB26" i="1"/>
  <c r="AO26" i="1"/>
  <c r="AC26" i="1"/>
  <c r="Q26" i="1"/>
  <c r="P26" i="1"/>
  <c r="AL26" i="1"/>
  <c r="AJ42" i="1"/>
  <c r="AJ44" i="1"/>
  <c r="J14" i="1"/>
  <c r="D10" i="14" s="1"/>
  <c r="D10" i="13" s="1"/>
  <c r="E13" i="9" s="1"/>
  <c r="F18" i="10" s="1"/>
  <c r="D51" i="10" s="1"/>
  <c r="P27" i="1"/>
  <c r="P34" i="1"/>
  <c r="P32" i="1"/>
  <c r="P40" i="1"/>
  <c r="P44" i="1" s="1"/>
  <c r="AB27" i="1"/>
  <c r="AB34" i="1"/>
  <c r="AB40" i="1"/>
  <c r="AB44" i="1" s="1"/>
  <c r="AB32" i="1"/>
  <c r="AN27" i="1"/>
  <c r="AN34" i="1"/>
  <c r="AN40" i="1"/>
  <c r="AN44" i="1" s="1"/>
  <c r="AN32" i="1"/>
  <c r="AO31" i="1"/>
  <c r="AC27" i="1"/>
  <c r="AC34" i="1"/>
  <c r="AC40" i="1"/>
  <c r="AC32" i="1"/>
  <c r="T45" i="1"/>
  <c r="AC24" i="1"/>
  <c r="Z26" i="1"/>
  <c r="AJ14" i="1"/>
  <c r="X14" i="1"/>
  <c r="AI14" i="1"/>
  <c r="W14" i="1"/>
  <c r="AH14" i="1"/>
  <c r="V14" i="1"/>
  <c r="AG14" i="1"/>
  <c r="U14" i="1"/>
  <c r="AF14" i="1"/>
  <c r="T14" i="1"/>
  <c r="AQ14" i="1"/>
  <c r="AE14" i="1"/>
  <c r="S14" i="1"/>
  <c r="AM14" i="1"/>
  <c r="O14" i="1"/>
  <c r="AP14" i="1"/>
  <c r="AD14" i="1"/>
  <c r="R14" i="1"/>
  <c r="AO14" i="1"/>
  <c r="AC14" i="1"/>
  <c r="Q14" i="1"/>
  <c r="AN14" i="1"/>
  <c r="AB14" i="1"/>
  <c r="P14" i="1"/>
  <c r="AA14" i="1"/>
  <c r="Q32" i="1"/>
  <c r="Q27" i="1"/>
  <c r="Q34" i="1"/>
  <c r="Q40" i="1"/>
  <c r="AO27" i="1"/>
  <c r="AO34" i="1"/>
  <c r="AO40" i="1"/>
  <c r="AO32" i="1"/>
  <c r="Z14" i="1"/>
  <c r="AN29" i="1"/>
  <c r="AF45" i="1"/>
  <c r="S24" i="1"/>
  <c r="AQ29" i="1"/>
  <c r="AL35" i="1"/>
  <c r="O9" i="1"/>
  <c r="AA9" i="1"/>
  <c r="T10" i="1"/>
  <c r="AF10" i="1"/>
  <c r="J11" i="1"/>
  <c r="D7" i="14" s="1"/>
  <c r="D7" i="13" s="1"/>
  <c r="Q21" i="9" s="1"/>
  <c r="F15" i="10" s="1"/>
  <c r="D48" i="10" s="1"/>
  <c r="R12" i="1"/>
  <c r="AD12" i="1"/>
  <c r="AP12" i="1"/>
  <c r="Z16" i="1"/>
  <c r="AL16" i="1"/>
  <c r="S17" i="1"/>
  <c r="AE17" i="1"/>
  <c r="AQ17" i="1"/>
  <c r="X18" i="1"/>
  <c r="AJ18" i="1"/>
  <c r="T24" i="1"/>
  <c r="AF24" i="1"/>
  <c r="Y25" i="1"/>
  <c r="AK25" i="1"/>
  <c r="O28" i="1"/>
  <c r="AA28" i="1"/>
  <c r="AM28" i="1"/>
  <c r="T29" i="1"/>
  <c r="AF29" i="1"/>
  <c r="Y31" i="1"/>
  <c r="AK31" i="1"/>
  <c r="R32" i="1"/>
  <c r="AD32" i="1"/>
  <c r="AP32" i="1"/>
  <c r="W34" i="1"/>
  <c r="AI34" i="1"/>
  <c r="O35" i="1"/>
  <c r="AA35" i="1"/>
  <c r="AM35" i="1"/>
  <c r="T36" i="1"/>
  <c r="AF36" i="1"/>
  <c r="O40" i="1"/>
  <c r="AA40" i="1"/>
  <c r="AM40" i="1"/>
  <c r="AM46" i="1" s="1"/>
  <c r="T41" i="1"/>
  <c r="AF41" i="1"/>
  <c r="Y42" i="1"/>
  <c r="AK42" i="1"/>
  <c r="W45" i="1"/>
  <c r="AI45" i="1"/>
  <c r="P46" i="1"/>
  <c r="AB46" i="1"/>
  <c r="AN46" i="1"/>
  <c r="Z46" i="1"/>
  <c r="Z28" i="1"/>
  <c r="AM9" i="1"/>
  <c r="P9" i="1"/>
  <c r="AB9" i="1"/>
  <c r="AN9" i="1"/>
  <c r="U10" i="1"/>
  <c r="AG10" i="1"/>
  <c r="Z11" i="1"/>
  <c r="AL11" i="1"/>
  <c r="S12" i="1"/>
  <c r="AE12" i="1"/>
  <c r="AQ12" i="1"/>
  <c r="X13" i="1"/>
  <c r="AJ13" i="1"/>
  <c r="V15" i="1"/>
  <c r="AH15" i="1"/>
  <c r="O16" i="1"/>
  <c r="AA16" i="1"/>
  <c r="AM16" i="1"/>
  <c r="T17" i="1"/>
  <c r="AF17" i="1"/>
  <c r="J18" i="1"/>
  <c r="D14" i="14" s="1"/>
  <c r="D14" i="13" s="1"/>
  <c r="L29" i="9" s="1"/>
  <c r="E22" i="10" s="1"/>
  <c r="D55" i="10" s="1"/>
  <c r="Y18" i="1"/>
  <c r="AK18" i="1"/>
  <c r="U24" i="1"/>
  <c r="AG24" i="1"/>
  <c r="Z25" i="1"/>
  <c r="AL25" i="1"/>
  <c r="W27" i="1"/>
  <c r="AI27" i="1"/>
  <c r="P28" i="1"/>
  <c r="AB28" i="1"/>
  <c r="AN28" i="1"/>
  <c r="U29" i="1"/>
  <c r="AG29" i="1"/>
  <c r="Z31" i="1"/>
  <c r="AL31" i="1"/>
  <c r="S32" i="1"/>
  <c r="AE32" i="1"/>
  <c r="AQ32" i="1"/>
  <c r="X34" i="1"/>
  <c r="AJ34" i="1"/>
  <c r="P35" i="1"/>
  <c r="AB35" i="1"/>
  <c r="AN35" i="1"/>
  <c r="U36" i="1"/>
  <c r="AG36" i="1"/>
  <c r="U41" i="1"/>
  <c r="AG41" i="1"/>
  <c r="Z42" i="1"/>
  <c r="AL42" i="1"/>
  <c r="X45" i="1"/>
  <c r="AJ45" i="1"/>
  <c r="Q46" i="1"/>
  <c r="AC46" i="1"/>
  <c r="AO46" i="1"/>
  <c r="J16" i="1"/>
  <c r="AC9" i="1"/>
  <c r="V10" i="1"/>
  <c r="AH10" i="1"/>
  <c r="J13" i="1"/>
  <c r="D9" i="14" s="1"/>
  <c r="D9" i="13" s="1"/>
  <c r="Q5" i="9" s="1"/>
  <c r="F17" i="10" s="1"/>
  <c r="D50" i="10" s="1"/>
  <c r="U17" i="1"/>
  <c r="AG17" i="1"/>
  <c r="AL18" i="1"/>
  <c r="V24" i="1"/>
  <c r="AH24" i="1"/>
  <c r="AM25" i="1"/>
  <c r="Q28" i="1"/>
  <c r="AC28" i="1"/>
  <c r="AO28" i="1"/>
  <c r="V29" i="1"/>
  <c r="AH29" i="1"/>
  <c r="O31" i="1"/>
  <c r="AA31" i="1"/>
  <c r="AM31" i="1"/>
  <c r="T32" i="1"/>
  <c r="AF32" i="1"/>
  <c r="Y34" i="1"/>
  <c r="AK34" i="1"/>
  <c r="Q35" i="1"/>
  <c r="AC35" i="1"/>
  <c r="AO35" i="1"/>
  <c r="V36" i="1"/>
  <c r="AH36" i="1"/>
  <c r="V41" i="1"/>
  <c r="AH41" i="1"/>
  <c r="T44" i="1"/>
  <c r="AF44" i="1"/>
  <c r="Y45" i="1"/>
  <c r="AK45" i="1"/>
  <c r="R46" i="1"/>
  <c r="AD46" i="1"/>
  <c r="AE10" i="1"/>
  <c r="AQ24" i="1"/>
  <c r="AL28" i="1"/>
  <c r="Q9" i="1"/>
  <c r="AO9" i="1"/>
  <c r="R9" i="1"/>
  <c r="AD9" i="1"/>
  <c r="AP9" i="1"/>
  <c r="W10" i="1"/>
  <c r="AI10" i="1"/>
  <c r="P11" i="1"/>
  <c r="AB11" i="1"/>
  <c r="U12" i="1"/>
  <c r="AG12" i="1"/>
  <c r="Z13" i="1"/>
  <c r="X15" i="1"/>
  <c r="AJ15" i="1"/>
  <c r="Q16" i="1"/>
  <c r="AC16" i="1"/>
  <c r="AO16" i="1"/>
  <c r="V17" i="1"/>
  <c r="AH17" i="1"/>
  <c r="O18" i="1"/>
  <c r="AA18" i="1"/>
  <c r="AM18" i="1"/>
  <c r="W24" i="1"/>
  <c r="AI24" i="1"/>
  <c r="P25" i="1"/>
  <c r="AB25" i="1"/>
  <c r="AN25" i="1"/>
  <c r="Y27" i="1"/>
  <c r="AK27" i="1"/>
  <c r="R28" i="1"/>
  <c r="AD28" i="1"/>
  <c r="AP28" i="1"/>
  <c r="W29" i="1"/>
  <c r="AI29" i="1"/>
  <c r="P31" i="1"/>
  <c r="AB31" i="1"/>
  <c r="AN31" i="1"/>
  <c r="U32" i="1"/>
  <c r="AG32" i="1"/>
  <c r="Z34" i="1"/>
  <c r="AL34" i="1"/>
  <c r="R35" i="1"/>
  <c r="AD35" i="1"/>
  <c r="AP35" i="1"/>
  <c r="W36" i="1"/>
  <c r="AI36" i="1"/>
  <c r="R40" i="1"/>
  <c r="AD40" i="1"/>
  <c r="AP40" i="1"/>
  <c r="W41" i="1"/>
  <c r="AI41" i="1"/>
  <c r="P42" i="1"/>
  <c r="AB42" i="1"/>
  <c r="U44" i="1"/>
  <c r="AG44" i="1"/>
  <c r="Z45" i="1"/>
  <c r="AL45" i="1"/>
  <c r="AQ46" i="1"/>
  <c r="AE9" i="1"/>
  <c r="AQ9" i="1"/>
  <c r="AJ10" i="1"/>
  <c r="AD16" i="1"/>
  <c r="AP16" i="1"/>
  <c r="W17" i="1"/>
  <c r="AI17" i="1"/>
  <c r="P18" i="1"/>
  <c r="AB18" i="1"/>
  <c r="AN18" i="1"/>
  <c r="X24" i="1"/>
  <c r="AJ24" i="1"/>
  <c r="Q25" i="1"/>
  <c r="AC25" i="1"/>
  <c r="AO25" i="1"/>
  <c r="Z27" i="1"/>
  <c r="S28" i="1"/>
  <c r="AE28" i="1"/>
  <c r="AQ28" i="1"/>
  <c r="X29" i="1"/>
  <c r="AJ29" i="1"/>
  <c r="Q31" i="1"/>
  <c r="AC31" i="1"/>
  <c r="V32" i="1"/>
  <c r="AH32" i="1"/>
  <c r="O34" i="1"/>
  <c r="AA34" i="1"/>
  <c r="S35" i="1"/>
  <c r="AE35" i="1"/>
  <c r="AQ35" i="1"/>
  <c r="X36" i="1"/>
  <c r="AJ36" i="1"/>
  <c r="S40" i="1"/>
  <c r="S46" i="1" s="1"/>
  <c r="AE40" i="1"/>
  <c r="AE46" i="1" s="1"/>
  <c r="AQ40" i="1"/>
  <c r="X41" i="1"/>
  <c r="AJ41" i="1"/>
  <c r="Q42" i="1"/>
  <c r="AC42" i="1"/>
  <c r="AO42" i="1"/>
  <c r="V44" i="1"/>
  <c r="AH44" i="1"/>
  <c r="O45" i="1"/>
  <c r="T46" i="1"/>
  <c r="AF46" i="1"/>
  <c r="AL9" i="1"/>
  <c r="S10" i="1"/>
  <c r="AQ10" i="1"/>
  <c r="S9" i="1"/>
  <c r="X10" i="1"/>
  <c r="J15" i="1"/>
  <c r="D11" i="14" s="1"/>
  <c r="D11" i="13" s="1"/>
  <c r="K13" i="9" s="1"/>
  <c r="F19" i="10" s="1"/>
  <c r="D52" i="10" s="1"/>
  <c r="T9" i="1"/>
  <c r="AF9" i="1"/>
  <c r="J10" i="1"/>
  <c r="D6" i="14" s="1"/>
  <c r="D6" i="13" s="1"/>
  <c r="E5" i="9" s="1"/>
  <c r="F13" i="10" s="1"/>
  <c r="D46" i="10" s="1"/>
  <c r="Y10" i="1"/>
  <c r="AK10" i="1"/>
  <c r="W12" i="1"/>
  <c r="AI12" i="1"/>
  <c r="Z15" i="1"/>
  <c r="S16" i="1"/>
  <c r="AE16" i="1"/>
  <c r="AQ16" i="1"/>
  <c r="X17" i="1"/>
  <c r="AJ17" i="1"/>
  <c r="Q18" i="1"/>
  <c r="AC18" i="1"/>
  <c r="AO18" i="1"/>
  <c r="Y24" i="1"/>
  <c r="AK24" i="1"/>
  <c r="R25" i="1"/>
  <c r="AD25" i="1"/>
  <c r="T28" i="1"/>
  <c r="AF28" i="1"/>
  <c r="Y29" i="1"/>
  <c r="AK29" i="1"/>
  <c r="R31" i="1"/>
  <c r="AD31" i="1"/>
  <c r="AP31" i="1"/>
  <c r="W32" i="1"/>
  <c r="AI32" i="1"/>
  <c r="T35" i="1"/>
  <c r="AF35" i="1"/>
  <c r="Y36" i="1"/>
  <c r="AK36" i="1"/>
  <c r="Y41" i="1"/>
  <c r="AK41" i="1"/>
  <c r="R42" i="1"/>
  <c r="AD42" i="1"/>
  <c r="W44" i="1"/>
  <c r="AI44" i="1"/>
  <c r="P45" i="1"/>
  <c r="AB45" i="1"/>
  <c r="U46" i="1"/>
  <c r="AG46" i="1"/>
  <c r="Z10" i="1"/>
  <c r="Z24" i="1"/>
  <c r="AL24" i="1"/>
  <c r="U28" i="1"/>
  <c r="AG28" i="1"/>
  <c r="Z29" i="1"/>
  <c r="AL29" i="1"/>
  <c r="U35" i="1"/>
  <c r="AG35" i="1"/>
  <c r="Z36" i="1"/>
  <c r="AL36" i="1"/>
  <c r="Z41" i="1"/>
  <c r="AL41" i="1"/>
  <c r="V46" i="1"/>
  <c r="AH46" i="1"/>
  <c r="AL10" i="1"/>
  <c r="J17" i="1"/>
  <c r="AH9" i="1"/>
  <c r="O10" i="1"/>
  <c r="AM10" i="1"/>
  <c r="Z17" i="1"/>
  <c r="AL17" i="1"/>
  <c r="O24" i="1"/>
  <c r="AM24" i="1"/>
  <c r="V28" i="1"/>
  <c r="AH28" i="1"/>
  <c r="O29" i="1"/>
  <c r="AA29" i="1"/>
  <c r="AM29" i="1"/>
  <c r="R34" i="1"/>
  <c r="AD34" i="1"/>
  <c r="AP34" i="1"/>
  <c r="V35" i="1"/>
  <c r="AH35" i="1"/>
  <c r="O36" i="1"/>
  <c r="AA36" i="1"/>
  <c r="AM36" i="1"/>
  <c r="O41" i="1"/>
  <c r="W46" i="1"/>
  <c r="AI46" i="1"/>
  <c r="V9" i="1"/>
  <c r="AA10" i="1"/>
  <c r="J12" i="1"/>
  <c r="D8" i="14" s="1"/>
  <c r="D8" i="13" s="1"/>
  <c r="Q13" i="9" s="1"/>
  <c r="F16" i="10" s="1"/>
  <c r="D49" i="10" s="1"/>
  <c r="AA24" i="1"/>
  <c r="W9" i="1"/>
  <c r="P10" i="1"/>
  <c r="AB10" i="1"/>
  <c r="Z12" i="1"/>
  <c r="V16" i="1"/>
  <c r="O17" i="1"/>
  <c r="AA17" i="1"/>
  <c r="T18" i="1"/>
  <c r="P24" i="1"/>
  <c r="AB24" i="1"/>
  <c r="AN24" i="1"/>
  <c r="U25" i="1"/>
  <c r="AG25" i="1"/>
  <c r="W28" i="1"/>
  <c r="P29" i="1"/>
  <c r="AB29" i="1"/>
  <c r="Z32" i="1"/>
  <c r="W35" i="1"/>
  <c r="AI35" i="1"/>
  <c r="P36" i="1"/>
  <c r="AB36" i="1"/>
  <c r="P41" i="1"/>
  <c r="AB41" i="1"/>
  <c r="Z44" i="1"/>
  <c r="X46" i="1"/>
  <c r="AJ46" i="1"/>
  <c r="AL46" i="1"/>
  <c r="O46" i="1"/>
  <c r="I96" i="7" l="1"/>
  <c r="M76" i="7"/>
  <c r="M75" i="7"/>
  <c r="D46" i="9"/>
  <c r="D177" i="7"/>
  <c r="D182" i="7"/>
  <c r="H182" i="7" s="1"/>
  <c r="I182" i="7" s="1"/>
  <c r="C106" i="10"/>
  <c r="D241" i="7"/>
  <c r="H240" i="7"/>
  <c r="M240" i="7" s="1"/>
  <c r="C100" i="10"/>
  <c r="D235" i="7"/>
  <c r="C101" i="10"/>
  <c r="D236" i="7"/>
  <c r="M125" i="7"/>
  <c r="I120" i="7"/>
  <c r="C73" i="8"/>
  <c r="D143" i="7"/>
  <c r="C63" i="8"/>
  <c r="D133" i="7"/>
  <c r="C68" i="8"/>
  <c r="D138" i="7"/>
  <c r="H138" i="7" s="1"/>
  <c r="I138" i="7" s="1"/>
  <c r="M117" i="7"/>
  <c r="M124" i="7"/>
  <c r="C82" i="8"/>
  <c r="D152" i="7"/>
  <c r="H152" i="7" s="1"/>
  <c r="C62" i="8"/>
  <c r="D132" i="7"/>
  <c r="H132" i="7" s="1"/>
  <c r="C57" i="8"/>
  <c r="D127" i="7"/>
  <c r="C43" i="8"/>
  <c r="M165" i="7"/>
  <c r="C98" i="8"/>
  <c r="D168" i="7"/>
  <c r="M116" i="7"/>
  <c r="C87" i="8"/>
  <c r="D157" i="7"/>
  <c r="C83" i="8"/>
  <c r="D153" i="7"/>
  <c r="C58" i="8"/>
  <c r="D128" i="7"/>
  <c r="H128" i="7" s="1"/>
  <c r="I128" i="7" s="1"/>
  <c r="C67" i="8"/>
  <c r="D137" i="7"/>
  <c r="M58" i="7"/>
  <c r="M73" i="7"/>
  <c r="D13" i="14"/>
  <c r="C55" i="10"/>
  <c r="D190" i="7"/>
  <c r="D84" i="9"/>
  <c r="C84" i="9" s="1"/>
  <c r="D56" i="9"/>
  <c r="C56" i="9" s="1"/>
  <c r="C48" i="10"/>
  <c r="D183" i="7"/>
  <c r="C49" i="10"/>
  <c r="D184" i="7"/>
  <c r="C46" i="10"/>
  <c r="D181" i="7"/>
  <c r="D41" i="9"/>
  <c r="D46" i="7" s="1"/>
  <c r="D94" i="9"/>
  <c r="D99" i="7" s="1"/>
  <c r="C50" i="10"/>
  <c r="D185" i="7"/>
  <c r="C52" i="10"/>
  <c r="D187" i="7"/>
  <c r="C51" i="10"/>
  <c r="D186" i="7"/>
  <c r="D61" i="9"/>
  <c r="C61" i="9" s="1"/>
  <c r="D51" i="9"/>
  <c r="C51" i="9" s="1"/>
  <c r="D74" i="9"/>
  <c r="C74" i="9" s="1"/>
  <c r="N22" i="1"/>
  <c r="D12" i="14"/>
  <c r="I74" i="7"/>
  <c r="M74" i="7"/>
  <c r="I140" i="7"/>
  <c r="M140" i="7"/>
  <c r="I131" i="7"/>
  <c r="M131" i="7"/>
  <c r="I91" i="7"/>
  <c r="M91" i="7"/>
  <c r="M128" i="7"/>
  <c r="I149" i="7"/>
  <c r="M149" i="7"/>
  <c r="I135" i="7"/>
  <c r="M135" i="7"/>
  <c r="I118" i="7"/>
  <c r="M118" i="7"/>
  <c r="I141" i="7"/>
  <c r="M141" i="7"/>
  <c r="I150" i="7"/>
  <c r="M150" i="7"/>
  <c r="I130" i="7"/>
  <c r="M130" i="7"/>
  <c r="I136" i="7"/>
  <c r="M136" i="7"/>
  <c r="I164" i="7"/>
  <c r="M164" i="7"/>
  <c r="M138" i="7"/>
  <c r="I126" i="7"/>
  <c r="M126" i="7"/>
  <c r="I121" i="7"/>
  <c r="M121" i="7"/>
  <c r="I81" i="7"/>
  <c r="M81" i="7"/>
  <c r="I106" i="7"/>
  <c r="M106" i="7"/>
  <c r="I53" i="7"/>
  <c r="M53" i="7"/>
  <c r="M132" i="7"/>
  <c r="I129" i="7"/>
  <c r="M129" i="7"/>
  <c r="I155" i="7"/>
  <c r="M155" i="7"/>
  <c r="I161" i="7"/>
  <c r="M161" i="7"/>
  <c r="I170" i="7"/>
  <c r="M170" i="7"/>
  <c r="I101" i="7"/>
  <c r="M101" i="7"/>
  <c r="I86" i="7"/>
  <c r="M86" i="7"/>
  <c r="M152" i="7"/>
  <c r="C46" i="9"/>
  <c r="D51" i="7"/>
  <c r="C105" i="7"/>
  <c r="C57" i="7"/>
  <c r="H113" i="7"/>
  <c r="I113" i="7" s="1"/>
  <c r="AN42" i="1"/>
  <c r="AA42" i="1"/>
  <c r="AA44" i="1"/>
  <c r="O42" i="1"/>
  <c r="O44" i="1"/>
  <c r="AM42" i="1"/>
  <c r="AM44" i="1"/>
  <c r="AP45" i="1"/>
  <c r="AP41" i="1"/>
  <c r="AO44" i="1"/>
  <c r="AO45" i="1"/>
  <c r="AO41" i="1"/>
  <c r="AQ45" i="1"/>
  <c r="AQ42" i="1"/>
  <c r="AQ41" i="1"/>
  <c r="AD45" i="1"/>
  <c r="AD41" i="1"/>
  <c r="AQ44" i="1"/>
  <c r="AP44" i="1"/>
  <c r="AE41" i="1"/>
  <c r="AE45" i="1"/>
  <c r="AE42" i="1"/>
  <c r="R41" i="1"/>
  <c r="R45" i="1"/>
  <c r="AE44" i="1"/>
  <c r="AD44" i="1"/>
  <c r="AC44" i="1"/>
  <c r="AC45" i="1"/>
  <c r="AC41" i="1"/>
  <c r="AA46" i="1"/>
  <c r="AM41" i="1"/>
  <c r="N23" i="1"/>
  <c r="AM45" i="1"/>
  <c r="S41" i="1"/>
  <c r="S45" i="1"/>
  <c r="S42" i="1"/>
  <c r="S44" i="1"/>
  <c r="R44" i="1"/>
  <c r="Q44" i="1"/>
  <c r="Q45" i="1"/>
  <c r="Q41" i="1"/>
  <c r="AA41" i="1"/>
  <c r="AA45" i="1"/>
  <c r="AP46" i="1"/>
  <c r="AP42" i="1"/>
  <c r="AN45" i="1"/>
  <c r="AN41" i="1"/>
  <c r="H177" i="7" l="1"/>
  <c r="I177" i="7" s="1"/>
  <c r="M182" i="7"/>
  <c r="J32" i="1"/>
  <c r="D28" i="14" s="1"/>
  <c r="D28" i="13" s="1"/>
  <c r="Q29" i="8" s="1"/>
  <c r="H236" i="7"/>
  <c r="I236" i="7" s="1"/>
  <c r="M236" i="7"/>
  <c r="H235" i="7"/>
  <c r="M235" i="7" s="1"/>
  <c r="I240" i="7"/>
  <c r="H241" i="7"/>
  <c r="M241" i="7" s="1"/>
  <c r="H157" i="7"/>
  <c r="I157" i="7" s="1"/>
  <c r="H168" i="7"/>
  <c r="I168" i="7" s="1"/>
  <c r="H133" i="7"/>
  <c r="I133" i="7" s="1"/>
  <c r="H137" i="7"/>
  <c r="I137" i="7" s="1"/>
  <c r="H127" i="7"/>
  <c r="I127" i="7" s="1"/>
  <c r="H143" i="7"/>
  <c r="I143" i="7" s="1"/>
  <c r="I152" i="7"/>
  <c r="I132" i="7"/>
  <c r="H153" i="7"/>
  <c r="M153" i="7" s="1"/>
  <c r="C94" i="9"/>
  <c r="D66" i="7"/>
  <c r="H66" i="7" s="1"/>
  <c r="I66" i="7" s="1"/>
  <c r="H185" i="7"/>
  <c r="I185" i="7" s="1"/>
  <c r="H183" i="7"/>
  <c r="I183" i="7" s="1"/>
  <c r="D89" i="7"/>
  <c r="H89" i="7" s="1"/>
  <c r="I89" i="7" s="1"/>
  <c r="C41" i="9"/>
  <c r="D12" i="13"/>
  <c r="D18" i="14"/>
  <c r="H190" i="7"/>
  <c r="I190" i="7" s="1"/>
  <c r="D79" i="7"/>
  <c r="H79" i="7" s="1"/>
  <c r="I79" i="7" s="1"/>
  <c r="H186" i="7"/>
  <c r="I186" i="7" s="1"/>
  <c r="H181" i="7"/>
  <c r="M181" i="7" s="1"/>
  <c r="H187" i="7"/>
  <c r="I187" i="7" s="1"/>
  <c r="H184" i="7"/>
  <c r="M184" i="7" s="1"/>
  <c r="D56" i="7"/>
  <c r="H56" i="7" s="1"/>
  <c r="I56" i="7" s="1"/>
  <c r="D61" i="7"/>
  <c r="H61" i="7" s="1"/>
  <c r="I61" i="7" s="1"/>
  <c r="D13" i="13"/>
  <c r="R29" i="9" s="1"/>
  <c r="D19" i="14"/>
  <c r="D19" i="13" s="1"/>
  <c r="M113" i="7"/>
  <c r="H51" i="7"/>
  <c r="I51" i="7" s="1"/>
  <c r="H99" i="7"/>
  <c r="I99" i="7" s="1"/>
  <c r="H46" i="7"/>
  <c r="I46" i="7" s="1"/>
  <c r="AQ22" i="1"/>
  <c r="AE22" i="1"/>
  <c r="S22" i="1"/>
  <c r="R22" i="1"/>
  <c r="AP22" i="1"/>
  <c r="AD22" i="1"/>
  <c r="AO22" i="1"/>
  <c r="AC22" i="1"/>
  <c r="Q22" i="1"/>
  <c r="AN22" i="1"/>
  <c r="AB22" i="1"/>
  <c r="P22" i="1"/>
  <c r="AM22" i="1"/>
  <c r="AA22" i="1"/>
  <c r="O22" i="1"/>
  <c r="AL22" i="1"/>
  <c r="Z22" i="1"/>
  <c r="AK22" i="1"/>
  <c r="Y22" i="1"/>
  <c r="AJ22" i="1"/>
  <c r="X22" i="1"/>
  <c r="AH22" i="1"/>
  <c r="AI22" i="1"/>
  <c r="W22" i="1"/>
  <c r="V22" i="1"/>
  <c r="AG22" i="1"/>
  <c r="AF22" i="1"/>
  <c r="T22" i="1"/>
  <c r="U22" i="1"/>
  <c r="J42" i="1"/>
  <c r="D38" i="14" s="1"/>
  <c r="D38" i="13" s="1"/>
  <c r="J41" i="1"/>
  <c r="D37" i="14" s="1"/>
  <c r="D37" i="13" s="1"/>
  <c r="J28" i="1"/>
  <c r="D24" i="14" s="1"/>
  <c r="D24" i="13" s="1"/>
  <c r="J35" i="1"/>
  <c r="D31" i="14" s="1"/>
  <c r="D31" i="13" s="1"/>
  <c r="J26" i="1"/>
  <c r="J46" i="1"/>
  <c r="D42" i="14" s="1"/>
  <c r="D42" i="13" s="1"/>
  <c r="J27" i="1"/>
  <c r="D23" i="14" s="1"/>
  <c r="D23" i="13" s="1"/>
  <c r="J24" i="1"/>
  <c r="D20" i="14" s="1"/>
  <c r="D20" i="13" s="1"/>
  <c r="J44" i="1"/>
  <c r="D40" i="14" s="1"/>
  <c r="D40" i="13" s="1"/>
  <c r="J36" i="1"/>
  <c r="D32" i="14" s="1"/>
  <c r="D32" i="13" s="1"/>
  <c r="J31" i="1"/>
  <c r="D27" i="14" s="1"/>
  <c r="D27" i="13" s="1"/>
  <c r="J34" i="1"/>
  <c r="D30" i="14" s="1"/>
  <c r="D30" i="13" s="1"/>
  <c r="J29" i="1"/>
  <c r="D25" i="14" s="1"/>
  <c r="D25" i="13" s="1"/>
  <c r="J45" i="1"/>
  <c r="D41" i="14" s="1"/>
  <c r="D41" i="13" s="1"/>
  <c r="J25" i="1"/>
  <c r="D21" i="14" s="1"/>
  <c r="AI23" i="1"/>
  <c r="W23" i="1"/>
  <c r="AH23" i="1"/>
  <c r="V23" i="1"/>
  <c r="AG23" i="1"/>
  <c r="U23" i="1"/>
  <c r="AF23" i="1"/>
  <c r="T23" i="1"/>
  <c r="AK23" i="1"/>
  <c r="AQ23" i="1"/>
  <c r="AE23" i="1"/>
  <c r="S23" i="1"/>
  <c r="AP23" i="1"/>
  <c r="AD23" i="1"/>
  <c r="R23" i="1"/>
  <c r="AL23" i="1"/>
  <c r="Y23" i="1"/>
  <c r="AO23" i="1"/>
  <c r="AC23" i="1"/>
  <c r="Q23" i="1"/>
  <c r="Z23" i="1"/>
  <c r="AN23" i="1"/>
  <c r="AB23" i="1"/>
  <c r="P23" i="1"/>
  <c r="AM23" i="1"/>
  <c r="AA23" i="1"/>
  <c r="O23" i="1"/>
  <c r="X23" i="1"/>
  <c r="AJ23" i="1"/>
  <c r="M177" i="7" l="1"/>
  <c r="Q32" i="8"/>
  <c r="R8" i="10" s="1"/>
  <c r="D99" i="8"/>
  <c r="I241" i="7"/>
  <c r="I235" i="7"/>
  <c r="M143" i="7"/>
  <c r="M127" i="7"/>
  <c r="M137" i="7"/>
  <c r="M133" i="7"/>
  <c r="I153" i="7"/>
  <c r="M168" i="7"/>
  <c r="M157" i="7"/>
  <c r="I181" i="7"/>
  <c r="M190" i="7"/>
  <c r="J22" i="1"/>
  <c r="I184" i="7"/>
  <c r="M185" i="7"/>
  <c r="M187" i="7"/>
  <c r="E29" i="9"/>
  <c r="D18" i="13"/>
  <c r="E15" i="9"/>
  <c r="D58" i="9" s="1"/>
  <c r="F6" i="8"/>
  <c r="D42" i="8" s="1"/>
  <c r="E29" i="8"/>
  <c r="L6" i="9"/>
  <c r="F7" i="9"/>
  <c r="E30" i="8"/>
  <c r="D90" i="8" s="1"/>
  <c r="Q30" i="9"/>
  <c r="L14" i="9"/>
  <c r="E21" i="10"/>
  <c r="D99" i="9"/>
  <c r="M183" i="7"/>
  <c r="D21" i="13"/>
  <c r="D22" i="14"/>
  <c r="D22" i="13" s="1"/>
  <c r="E9" i="8"/>
  <c r="R14" i="9"/>
  <c r="E5" i="10"/>
  <c r="L18" i="9"/>
  <c r="D66" i="9" s="1"/>
  <c r="K30" i="9"/>
  <c r="L19" i="9"/>
  <c r="D67" i="9" s="1"/>
  <c r="M186" i="7"/>
  <c r="E21" i="8"/>
  <c r="L15" i="9"/>
  <c r="D63" i="9" s="1"/>
  <c r="Q22" i="9"/>
  <c r="F8" i="8"/>
  <c r="D44" i="8" s="1"/>
  <c r="F22" i="8"/>
  <c r="Q6" i="9"/>
  <c r="E6" i="9"/>
  <c r="L17" i="9"/>
  <c r="D65" i="9" s="1"/>
  <c r="J23" i="1"/>
  <c r="M89" i="7"/>
  <c r="M66" i="7"/>
  <c r="M99" i="7"/>
  <c r="M79" i="7"/>
  <c r="M61" i="7"/>
  <c r="M46" i="7"/>
  <c r="M56" i="7"/>
  <c r="M51" i="7"/>
  <c r="Q33" i="8" l="1"/>
  <c r="R32" i="8" s="1"/>
  <c r="C99" i="8"/>
  <c r="D169" i="7"/>
  <c r="D71" i="7"/>
  <c r="C66" i="9"/>
  <c r="Q32" i="9"/>
  <c r="D100" i="9"/>
  <c r="C90" i="8"/>
  <c r="D160" i="7"/>
  <c r="D70" i="7"/>
  <c r="C65" i="9"/>
  <c r="D41" i="10"/>
  <c r="E8" i="10"/>
  <c r="E9" i="10" s="1"/>
  <c r="D42" i="9"/>
  <c r="E8" i="9"/>
  <c r="D75" i="9"/>
  <c r="Q16" i="9"/>
  <c r="D43" i="9"/>
  <c r="D52" i="9"/>
  <c r="Q8" i="9"/>
  <c r="Q9" i="9" s="1"/>
  <c r="R8" i="9" s="1"/>
  <c r="D45" i="8"/>
  <c r="D47" i="9"/>
  <c r="K8" i="9"/>
  <c r="D75" i="8"/>
  <c r="F22" i="9"/>
  <c r="K16" i="9"/>
  <c r="D89" i="8"/>
  <c r="E32" i="8"/>
  <c r="E33" i="8" s="1"/>
  <c r="F32" i="8" s="1"/>
  <c r="D112" i="7"/>
  <c r="C42" i="8"/>
  <c r="C58" i="9"/>
  <c r="D63" i="7"/>
  <c r="D68" i="7"/>
  <c r="C63" i="9"/>
  <c r="E14" i="9"/>
  <c r="F30" i="9"/>
  <c r="D114" i="7"/>
  <c r="C44" i="8"/>
  <c r="F5" i="8"/>
  <c r="E21" i="9"/>
  <c r="D85" i="9"/>
  <c r="Q24" i="9"/>
  <c r="Q25" i="9" s="1"/>
  <c r="R24" i="9" s="1"/>
  <c r="D74" i="8"/>
  <c r="E24" i="8"/>
  <c r="E25" i="8" s="1"/>
  <c r="F24" i="8" s="1"/>
  <c r="R32" i="9"/>
  <c r="R33" i="9" s="1"/>
  <c r="F20" i="10"/>
  <c r="D89" i="9"/>
  <c r="C99" i="9"/>
  <c r="D104" i="7"/>
  <c r="C67" i="9"/>
  <c r="D72" i="7"/>
  <c r="D54" i="10"/>
  <c r="D95" i="9"/>
  <c r="L32" i="9"/>
  <c r="D62" i="9"/>
  <c r="Q8" i="10" l="1"/>
  <c r="D90" i="10" s="1"/>
  <c r="D102" i="8"/>
  <c r="R33" i="8"/>
  <c r="D103" i="8" s="1"/>
  <c r="H169" i="7"/>
  <c r="I169" i="7" s="1"/>
  <c r="K12" i="10"/>
  <c r="R9" i="9"/>
  <c r="D55" i="9" s="1"/>
  <c r="Q6" i="10"/>
  <c r="F25" i="8"/>
  <c r="D78" i="8" s="1"/>
  <c r="K10" i="10"/>
  <c r="R25" i="9"/>
  <c r="D88" i="9" s="1"/>
  <c r="C85" i="9"/>
  <c r="D90" i="7"/>
  <c r="H112" i="7"/>
  <c r="I112" i="7" s="1"/>
  <c r="D47" i="7"/>
  <c r="C42" i="9"/>
  <c r="D115" i="7"/>
  <c r="C45" i="8"/>
  <c r="F8" i="10"/>
  <c r="D44" i="10" s="1"/>
  <c r="C62" i="9"/>
  <c r="D67" i="7"/>
  <c r="E24" i="9"/>
  <c r="E25" i="9" s="1"/>
  <c r="D79" i="9"/>
  <c r="Q7" i="10"/>
  <c r="F33" i="8"/>
  <c r="D93" i="8" s="1"/>
  <c r="L33" i="9"/>
  <c r="K32" i="9" s="1"/>
  <c r="K9" i="10"/>
  <c r="D41" i="8"/>
  <c r="F16" i="8"/>
  <c r="Q5" i="10" s="1"/>
  <c r="R7" i="10"/>
  <c r="D92" i="8"/>
  <c r="E8" i="11"/>
  <c r="D250" i="7" s="1"/>
  <c r="L25" i="10"/>
  <c r="D159" i="7"/>
  <c r="C89" i="8"/>
  <c r="L12" i="10"/>
  <c r="D54" i="9"/>
  <c r="C41" i="10"/>
  <c r="D176" i="7"/>
  <c r="D94" i="7"/>
  <c r="C89" i="9"/>
  <c r="D57" i="7"/>
  <c r="C52" i="9"/>
  <c r="C95" i="9"/>
  <c r="D100" i="7"/>
  <c r="D53" i="10"/>
  <c r="F29" i="10"/>
  <c r="K23" i="10" s="1"/>
  <c r="H114" i="7"/>
  <c r="I114" i="7" s="1"/>
  <c r="D64" i="9"/>
  <c r="K24" i="9"/>
  <c r="K25" i="9" s="1"/>
  <c r="L24" i="9" s="1"/>
  <c r="E32" i="9"/>
  <c r="D90" i="9"/>
  <c r="F32" i="9"/>
  <c r="F33" i="9" s="1"/>
  <c r="F24" i="9"/>
  <c r="F25" i="9" s="1"/>
  <c r="D80" i="9"/>
  <c r="H70" i="7"/>
  <c r="I70" i="7" s="1"/>
  <c r="D57" i="9"/>
  <c r="E16" i="9"/>
  <c r="E17" i="9" s="1"/>
  <c r="F16" i="9" s="1"/>
  <c r="C43" i="9"/>
  <c r="D48" i="7"/>
  <c r="H160" i="7"/>
  <c r="I160" i="7" s="1"/>
  <c r="R6" i="10"/>
  <c r="D77" i="8"/>
  <c r="H104" i="7"/>
  <c r="I104" i="7" s="1"/>
  <c r="C75" i="8"/>
  <c r="D145" i="7"/>
  <c r="L11" i="10"/>
  <c r="Q17" i="9"/>
  <c r="R16" i="9" s="1"/>
  <c r="D77" i="9" s="1"/>
  <c r="D105" i="7"/>
  <c r="C100" i="9"/>
  <c r="D144" i="7"/>
  <c r="C74" i="8"/>
  <c r="H68" i="7"/>
  <c r="I68" i="7" s="1"/>
  <c r="H63" i="7"/>
  <c r="I63" i="7" s="1"/>
  <c r="D80" i="7"/>
  <c r="C75" i="9"/>
  <c r="Q33" i="9"/>
  <c r="D103" i="9" s="1"/>
  <c r="D102" i="9"/>
  <c r="C54" i="10"/>
  <c r="D189" i="7"/>
  <c r="H72" i="7"/>
  <c r="I72" i="7" s="1"/>
  <c r="L10" i="10"/>
  <c r="D87" i="9"/>
  <c r="L6" i="10"/>
  <c r="K9" i="9"/>
  <c r="L8" i="9" s="1"/>
  <c r="D49" i="9" s="1"/>
  <c r="L5" i="10"/>
  <c r="D52" i="7"/>
  <c r="C47" i="9"/>
  <c r="E9" i="9"/>
  <c r="F8" i="9" s="1"/>
  <c r="H71" i="7"/>
  <c r="I71" i="7" s="1"/>
  <c r="C103" i="8" l="1"/>
  <c r="D173" i="7"/>
  <c r="H173" i="7" s="1"/>
  <c r="I173" i="7" s="1"/>
  <c r="C102" i="8"/>
  <c r="D172" i="7"/>
  <c r="H172" i="7" s="1"/>
  <c r="I172" i="7" s="1"/>
  <c r="C90" i="10"/>
  <c r="D225" i="7"/>
  <c r="M169" i="7"/>
  <c r="D89" i="10"/>
  <c r="C89" i="10" s="1"/>
  <c r="M160" i="7"/>
  <c r="F17" i="8"/>
  <c r="E16" i="8" s="1"/>
  <c r="D52" i="8" s="1"/>
  <c r="M114" i="7"/>
  <c r="M70" i="7"/>
  <c r="F17" i="9"/>
  <c r="D60" i="9" s="1"/>
  <c r="K7" i="10"/>
  <c r="D82" i="7"/>
  <c r="H82" i="7" s="1"/>
  <c r="I82" i="7" s="1"/>
  <c r="C77" i="9"/>
  <c r="D54" i="7"/>
  <c r="C49" i="9"/>
  <c r="C103" i="9"/>
  <c r="D108" i="7"/>
  <c r="C77" i="8"/>
  <c r="D147" i="7"/>
  <c r="D85" i="7"/>
  <c r="C80" i="9"/>
  <c r="F30" i="10"/>
  <c r="E29" i="10" s="1"/>
  <c r="L9" i="10"/>
  <c r="D97" i="9"/>
  <c r="K33" i="9"/>
  <c r="D98" i="9" s="1"/>
  <c r="D92" i="7"/>
  <c r="H92" i="7" s="1"/>
  <c r="I92" i="7" s="1"/>
  <c r="C87" i="9"/>
  <c r="C93" i="8"/>
  <c r="D163" i="7"/>
  <c r="H47" i="7"/>
  <c r="I47" i="7" s="1"/>
  <c r="M68" i="7"/>
  <c r="M71" i="7"/>
  <c r="C53" i="10"/>
  <c r="D188" i="7"/>
  <c r="H159" i="7"/>
  <c r="I159" i="7" s="1"/>
  <c r="M112" i="7"/>
  <c r="K5" i="10"/>
  <c r="F9" i="9"/>
  <c r="D45" i="9" s="1"/>
  <c r="H100" i="7"/>
  <c r="I100" i="7" s="1"/>
  <c r="D83" i="9"/>
  <c r="D95" i="7"/>
  <c r="C90" i="9"/>
  <c r="M250" i="7"/>
  <c r="I250" i="7"/>
  <c r="C79" i="9"/>
  <c r="D84" i="7"/>
  <c r="H90" i="7"/>
  <c r="I90" i="7" s="1"/>
  <c r="H144" i="7"/>
  <c r="I144" i="7" s="1"/>
  <c r="H105" i="7"/>
  <c r="I105" i="7" s="1"/>
  <c r="H48" i="7"/>
  <c r="I48" i="7" s="1"/>
  <c r="H52" i="7"/>
  <c r="I52" i="7" s="1"/>
  <c r="C102" i="9"/>
  <c r="D107" i="7"/>
  <c r="D92" i="9"/>
  <c r="E33" i="9"/>
  <c r="D93" i="9" s="1"/>
  <c r="C44" i="10"/>
  <c r="D179" i="7"/>
  <c r="D82" i="9"/>
  <c r="D44" i="9"/>
  <c r="K11" i="10"/>
  <c r="D70" i="10" s="1"/>
  <c r="R17" i="9"/>
  <c r="D78" i="9" s="1"/>
  <c r="L7" i="10"/>
  <c r="D59" i="9"/>
  <c r="H57" i="7"/>
  <c r="I57" i="7" s="1"/>
  <c r="C88" i="9"/>
  <c r="D93" i="7"/>
  <c r="H93" i="7" s="1"/>
  <c r="I93" i="7" s="1"/>
  <c r="M72" i="7"/>
  <c r="C92" i="8"/>
  <c r="D162" i="7"/>
  <c r="H67" i="7"/>
  <c r="I67" i="7" s="1"/>
  <c r="L8" i="10"/>
  <c r="D72" i="9"/>
  <c r="D69" i="10"/>
  <c r="H189" i="7"/>
  <c r="I189" i="7" s="1"/>
  <c r="H80" i="7"/>
  <c r="I80" i="7" s="1"/>
  <c r="H145" i="7"/>
  <c r="I145" i="7" s="1"/>
  <c r="K8" i="10"/>
  <c r="L25" i="9"/>
  <c r="D73" i="9" s="1"/>
  <c r="H94" i="7"/>
  <c r="I94" i="7" s="1"/>
  <c r="R5" i="10"/>
  <c r="D87" i="10" s="1"/>
  <c r="C78" i="8"/>
  <c r="D148" i="7"/>
  <c r="K6" i="10"/>
  <c r="D65" i="10" s="1"/>
  <c r="L9" i="9"/>
  <c r="D50" i="9" s="1"/>
  <c r="M63" i="7"/>
  <c r="D62" i="7"/>
  <c r="C57" i="9"/>
  <c r="C64" i="9"/>
  <c r="D69" i="7"/>
  <c r="H176" i="7"/>
  <c r="I176" i="7" s="1"/>
  <c r="E13" i="11"/>
  <c r="E7" i="11"/>
  <c r="D249" i="7" s="1"/>
  <c r="K25" i="10"/>
  <c r="D81" i="10" s="1"/>
  <c r="F9" i="10"/>
  <c r="D45" i="10" s="1"/>
  <c r="D88" i="10"/>
  <c r="M104" i="7"/>
  <c r="C41" i="8"/>
  <c r="D111" i="7"/>
  <c r="C55" i="9"/>
  <c r="D60" i="7"/>
  <c r="C54" i="9"/>
  <c r="D59" i="7"/>
  <c r="D68" i="10"/>
  <c r="H115" i="7"/>
  <c r="I115" i="7" s="1"/>
  <c r="D71" i="10"/>
  <c r="M172" i="7"/>
  <c r="M173" i="7"/>
  <c r="D224" i="7" l="1"/>
  <c r="Q13" i="10"/>
  <c r="L26" i="10" s="1"/>
  <c r="E17" i="8"/>
  <c r="D53" i="8" s="1"/>
  <c r="D123" i="7" s="1"/>
  <c r="H225" i="7"/>
  <c r="I225" i="7" s="1"/>
  <c r="M92" i="7"/>
  <c r="M189" i="7"/>
  <c r="M145" i="7"/>
  <c r="M82" i="7"/>
  <c r="M105" i="7"/>
  <c r="M48" i="7"/>
  <c r="M93" i="7"/>
  <c r="C88" i="10"/>
  <c r="D223" i="7"/>
  <c r="D55" i="7"/>
  <c r="C50" i="9"/>
  <c r="H162" i="7"/>
  <c r="I162" i="7" s="1"/>
  <c r="D87" i="7"/>
  <c r="C82" i="9"/>
  <c r="M100" i="7"/>
  <c r="C81" i="10"/>
  <c r="D216" i="7"/>
  <c r="C65" i="10"/>
  <c r="D200" i="7"/>
  <c r="M80" i="7"/>
  <c r="H179" i="7"/>
  <c r="I179" i="7" s="1"/>
  <c r="M144" i="7"/>
  <c r="H85" i="7"/>
  <c r="I85" i="7" s="1"/>
  <c r="C45" i="9"/>
  <c r="D50" i="7"/>
  <c r="M47" i="7"/>
  <c r="H147" i="7"/>
  <c r="I147" i="7" s="1"/>
  <c r="D255" i="7"/>
  <c r="D98" i="7"/>
  <c r="C93" i="9"/>
  <c r="M90" i="7"/>
  <c r="D64" i="10"/>
  <c r="K18" i="10"/>
  <c r="K19" i="10" s="1"/>
  <c r="H163" i="7"/>
  <c r="I163" i="7" s="1"/>
  <c r="C68" i="10"/>
  <c r="D203" i="7"/>
  <c r="H60" i="7"/>
  <c r="I60" i="7" s="1"/>
  <c r="C92" i="9"/>
  <c r="D97" i="7"/>
  <c r="H108" i="7"/>
  <c r="I108" i="7" s="1"/>
  <c r="M115" i="7"/>
  <c r="C87" i="10"/>
  <c r="D222" i="7"/>
  <c r="M176" i="7"/>
  <c r="D122" i="7"/>
  <c r="C52" i="8"/>
  <c r="M57" i="7"/>
  <c r="H107" i="7"/>
  <c r="I107" i="7" s="1"/>
  <c r="H84" i="7"/>
  <c r="I84" i="7" s="1"/>
  <c r="H224" i="7"/>
  <c r="I224" i="7" s="1"/>
  <c r="H148" i="7"/>
  <c r="I148" i="7" s="1"/>
  <c r="H111" i="7"/>
  <c r="I111" i="7" s="1"/>
  <c r="E12" i="11"/>
  <c r="D254" i="7" s="1"/>
  <c r="C69" i="10"/>
  <c r="D204" i="7"/>
  <c r="M249" i="7"/>
  <c r="I249" i="7"/>
  <c r="H59" i="7"/>
  <c r="I59" i="7" s="1"/>
  <c r="H69" i="7"/>
  <c r="I69" i="7" s="1"/>
  <c r="M94" i="7"/>
  <c r="C72" i="9"/>
  <c r="D77" i="7"/>
  <c r="C59" i="9"/>
  <c r="D64" i="7"/>
  <c r="M52" i="7"/>
  <c r="M159" i="7"/>
  <c r="H54" i="7"/>
  <c r="I54" i="7" s="1"/>
  <c r="C98" i="9"/>
  <c r="D103" i="7"/>
  <c r="D78" i="7"/>
  <c r="C73" i="9"/>
  <c r="D83" i="7"/>
  <c r="C78" i="9"/>
  <c r="H188" i="7"/>
  <c r="M188" i="7" s="1"/>
  <c r="C97" i="9"/>
  <c r="D102" i="7"/>
  <c r="C71" i="10"/>
  <c r="D206" i="7"/>
  <c r="C45" i="10"/>
  <c r="D180" i="7"/>
  <c r="H62" i="7"/>
  <c r="I62" i="7" s="1"/>
  <c r="D67" i="10"/>
  <c r="M67" i="7"/>
  <c r="C70" i="10"/>
  <c r="D205" i="7"/>
  <c r="H95" i="7"/>
  <c r="I95" i="7" s="1"/>
  <c r="D66" i="10"/>
  <c r="C44" i="9"/>
  <c r="D49" i="7"/>
  <c r="D88" i="7"/>
  <c r="C83" i="9"/>
  <c r="D62" i="10"/>
  <c r="E5" i="11"/>
  <c r="D247" i="7" s="1"/>
  <c r="L23" i="10"/>
  <c r="E30" i="10"/>
  <c r="D63" i="10" s="1"/>
  <c r="C60" i="9"/>
  <c r="D65" i="7"/>
  <c r="Q14" i="10" l="1"/>
  <c r="C53" i="8"/>
  <c r="M225" i="7"/>
  <c r="I188" i="7"/>
  <c r="M224" i="7"/>
  <c r="M84" i="7"/>
  <c r="M59" i="7"/>
  <c r="M107" i="7"/>
  <c r="L18" i="10"/>
  <c r="D77" i="10" s="1"/>
  <c r="H216" i="7"/>
  <c r="M216" i="7" s="1"/>
  <c r="H205" i="7"/>
  <c r="M205" i="7" s="1"/>
  <c r="H204" i="7"/>
  <c r="M204" i="7" s="1"/>
  <c r="H97" i="7"/>
  <c r="I97" i="7" s="1"/>
  <c r="L24" i="10"/>
  <c r="L30" i="10" s="1"/>
  <c r="M85" i="7"/>
  <c r="C64" i="10"/>
  <c r="D199" i="7"/>
  <c r="D79" i="10"/>
  <c r="C67" i="10"/>
  <c r="D202" i="7"/>
  <c r="H77" i="7"/>
  <c r="M77" i="7" s="1"/>
  <c r="M254" i="7"/>
  <c r="I254" i="7"/>
  <c r="H123" i="7"/>
  <c r="I123" i="7" s="1"/>
  <c r="M179" i="7"/>
  <c r="H87" i="7"/>
  <c r="I87" i="7" s="1"/>
  <c r="M247" i="7"/>
  <c r="I247" i="7"/>
  <c r="C62" i="10"/>
  <c r="D197" i="7"/>
  <c r="M62" i="7"/>
  <c r="H83" i="7"/>
  <c r="I83" i="7" s="1"/>
  <c r="M111" i="7"/>
  <c r="M60" i="7"/>
  <c r="H98" i="7"/>
  <c r="I98" i="7" s="1"/>
  <c r="M162" i="7"/>
  <c r="H122" i="7"/>
  <c r="I122" i="7" s="1"/>
  <c r="M255" i="7"/>
  <c r="I255" i="7"/>
  <c r="C63" i="10"/>
  <c r="D198" i="7"/>
  <c r="H88" i="7"/>
  <c r="I88" i="7" s="1"/>
  <c r="H180" i="7"/>
  <c r="M180" i="7" s="1"/>
  <c r="H78" i="7"/>
  <c r="I78" i="7" s="1"/>
  <c r="M69" i="7"/>
  <c r="M148" i="7"/>
  <c r="R13" i="10"/>
  <c r="E14" i="11"/>
  <c r="H49" i="7"/>
  <c r="I49" i="7" s="1"/>
  <c r="H103" i="7"/>
  <c r="I103" i="7" s="1"/>
  <c r="H222" i="7"/>
  <c r="I222" i="7" s="1"/>
  <c r="H203" i="7"/>
  <c r="M203" i="7" s="1"/>
  <c r="M147" i="7"/>
  <c r="H200" i="7"/>
  <c r="I200" i="7" s="1"/>
  <c r="H55" i="7"/>
  <c r="I55" i="7" s="1"/>
  <c r="H64" i="7"/>
  <c r="I64" i="7" s="1"/>
  <c r="H206" i="7"/>
  <c r="M206" i="7" s="1"/>
  <c r="H223" i="7"/>
  <c r="M223" i="7" s="1"/>
  <c r="C66" i="10"/>
  <c r="D201" i="7"/>
  <c r="M54" i="7"/>
  <c r="M163" i="7"/>
  <c r="H65" i="7"/>
  <c r="I65" i="7" s="1"/>
  <c r="M95" i="7"/>
  <c r="H102" i="7"/>
  <c r="I102" i="7" s="1"/>
  <c r="M108" i="7"/>
  <c r="H50" i="7"/>
  <c r="I50" i="7" s="1"/>
  <c r="M222" i="7" l="1"/>
  <c r="M200" i="7"/>
  <c r="I203" i="7"/>
  <c r="I180" i="7"/>
  <c r="M50" i="7"/>
  <c r="M78" i="7"/>
  <c r="M98" i="7"/>
  <c r="I223" i="7"/>
  <c r="I77" i="7"/>
  <c r="K26" i="10"/>
  <c r="D82" i="10" s="1"/>
  <c r="D95" i="10"/>
  <c r="R14" i="10"/>
  <c r="D96" i="10" s="1"/>
  <c r="H197" i="7"/>
  <c r="I197" i="7" s="1"/>
  <c r="I204" i="7"/>
  <c r="H202" i="7"/>
  <c r="I202" i="7" s="1"/>
  <c r="I206" i="7"/>
  <c r="M122" i="7"/>
  <c r="C79" i="10"/>
  <c r="D214" i="7"/>
  <c r="I205" i="7"/>
  <c r="M102" i="7"/>
  <c r="M65" i="7"/>
  <c r="M64" i="7"/>
  <c r="M87" i="7"/>
  <c r="H199" i="7"/>
  <c r="M199" i="7" s="1"/>
  <c r="M55" i="7"/>
  <c r="M103" i="7"/>
  <c r="I216" i="7"/>
  <c r="M123" i="7"/>
  <c r="H201" i="7"/>
  <c r="I201" i="7" s="1"/>
  <c r="M49" i="7"/>
  <c r="M88" i="7"/>
  <c r="M83" i="7"/>
  <c r="C77" i="10"/>
  <c r="D212" i="7"/>
  <c r="D256" i="7"/>
  <c r="D14" i="11"/>
  <c r="B256" i="7" s="1"/>
  <c r="H198" i="7"/>
  <c r="M198" i="7" s="1"/>
  <c r="M97" i="7"/>
  <c r="E4" i="11"/>
  <c r="K24" i="10"/>
  <c r="L19" i="10"/>
  <c r="D78" i="10" s="1"/>
  <c r="N1" i="7"/>
  <c r="I199" i="7" l="1"/>
  <c r="M202" i="7"/>
  <c r="C78" i="10"/>
  <c r="D213" i="7"/>
  <c r="D80" i="10"/>
  <c r="K30" i="10"/>
  <c r="D86" i="10" s="1"/>
  <c r="E6" i="11"/>
  <c r="D246" i="7"/>
  <c r="M201" i="7"/>
  <c r="M197" i="7"/>
  <c r="C96" i="10"/>
  <c r="D231" i="7"/>
  <c r="C95" i="10"/>
  <c r="D230" i="7"/>
  <c r="C82" i="10"/>
  <c r="D217" i="7"/>
  <c r="I198" i="7"/>
  <c r="M256" i="7"/>
  <c r="I256" i="7"/>
  <c r="H214" i="7"/>
  <c r="I214" i="7" s="1"/>
  <c r="H212" i="7"/>
  <c r="N256" i="7"/>
  <c r="N232" i="7"/>
  <c r="N192" i="7"/>
  <c r="N51" i="7"/>
  <c r="L51" i="7" s="1"/>
  <c r="N254" i="7"/>
  <c r="N96" i="7"/>
  <c r="L161" i="7" s="1"/>
  <c r="N230" i="7"/>
  <c r="N215" i="7"/>
  <c r="N171" i="7"/>
  <c r="N186" i="7"/>
  <c r="N158" i="7"/>
  <c r="N99" i="7"/>
  <c r="N170" i="7"/>
  <c r="N250" i="7"/>
  <c r="N175" i="7"/>
  <c r="N33" i="7"/>
  <c r="J33" i="7" s="1"/>
  <c r="N48" i="7"/>
  <c r="J48" i="7" s="1"/>
  <c r="N152" i="7"/>
  <c r="N176" i="7"/>
  <c r="N225" i="7"/>
  <c r="N69" i="7"/>
  <c r="N217" i="7"/>
  <c r="N207" i="7"/>
  <c r="N173" i="7"/>
  <c r="N160" i="7"/>
  <c r="N29" i="7"/>
  <c r="N112" i="7"/>
  <c r="N62" i="7"/>
  <c r="L62" i="7" s="1"/>
  <c r="N66" i="7"/>
  <c r="J66" i="7" s="1"/>
  <c r="N70" i="7"/>
  <c r="J70" i="7" s="1"/>
  <c r="N162" i="7"/>
  <c r="N182" i="7"/>
  <c r="N55" i="7"/>
  <c r="N74" i="7"/>
  <c r="L139" i="7" s="1"/>
  <c r="N183" i="7"/>
  <c r="N80" i="7"/>
  <c r="N98" i="7"/>
  <c r="L98" i="7" s="1"/>
  <c r="N36" i="7"/>
  <c r="N228" i="7"/>
  <c r="N21" i="7"/>
  <c r="L21" i="7" s="1"/>
  <c r="N44" i="7"/>
  <c r="N124" i="7"/>
  <c r="J254" i="7" s="1"/>
  <c r="N118" i="7"/>
  <c r="N61" i="7"/>
  <c r="N120" i="7"/>
  <c r="L250" i="7" s="1"/>
  <c r="N86" i="7"/>
  <c r="J151" i="7" s="1"/>
  <c r="N39" i="7"/>
  <c r="N191" i="7"/>
  <c r="N60" i="7"/>
  <c r="J125" i="7" s="1"/>
  <c r="N178" i="7"/>
  <c r="N73" i="7"/>
  <c r="N134" i="7"/>
  <c r="N227" i="7"/>
  <c r="N95" i="7"/>
  <c r="L160" i="7" s="1"/>
  <c r="N90" i="7"/>
  <c r="L155" i="7" s="1"/>
  <c r="N180" i="7"/>
  <c r="N116" i="7"/>
  <c r="N150" i="7"/>
  <c r="N155" i="7"/>
  <c r="N101" i="7"/>
  <c r="N38" i="7"/>
  <c r="L38" i="7" s="1"/>
  <c r="N14" i="7"/>
  <c r="J14" i="7" s="1"/>
  <c r="N245" i="7"/>
  <c r="N131" i="7"/>
  <c r="N174" i="7"/>
  <c r="N210" i="7"/>
  <c r="N163" i="7"/>
  <c r="N241" i="7"/>
  <c r="N143" i="7"/>
  <c r="N240" i="7"/>
  <c r="N82" i="7"/>
  <c r="N23" i="7"/>
  <c r="J23" i="7" s="1"/>
  <c r="N46" i="7"/>
  <c r="J176" i="7" s="1"/>
  <c r="N149" i="7"/>
  <c r="N135" i="7"/>
  <c r="N208" i="7"/>
  <c r="N71" i="7"/>
  <c r="N251" i="7"/>
  <c r="N88" i="7"/>
  <c r="N252" i="7"/>
  <c r="N31" i="7"/>
  <c r="N103" i="7"/>
  <c r="L103" i="7" s="1"/>
  <c r="N15" i="7"/>
  <c r="J15" i="7" s="1"/>
  <c r="N129" i="7"/>
  <c r="N24" i="7"/>
  <c r="J24" i="7" s="1"/>
  <c r="N11" i="7"/>
  <c r="N188" i="7"/>
  <c r="N94" i="7"/>
  <c r="L159" i="7" s="1"/>
  <c r="N190" i="7"/>
  <c r="N253" i="7"/>
  <c r="N8" i="7"/>
  <c r="L8" i="7" s="1"/>
  <c r="K8" i="7" s="1"/>
  <c r="N136" i="7"/>
  <c r="N102" i="7"/>
  <c r="N100" i="7"/>
  <c r="J165" i="7" s="1"/>
  <c r="N56" i="7"/>
  <c r="N148" i="7"/>
  <c r="N130" i="7"/>
  <c r="N159" i="7"/>
  <c r="N138" i="7"/>
  <c r="N45" i="7"/>
  <c r="N196" i="7"/>
  <c r="N34" i="7"/>
  <c r="L34" i="7" s="1"/>
  <c r="N205" i="7"/>
  <c r="N89" i="7"/>
  <c r="N81" i="7"/>
  <c r="N26" i="7"/>
  <c r="L26" i="7" s="1"/>
  <c r="N107" i="7"/>
  <c r="N146" i="7"/>
  <c r="N187" i="7"/>
  <c r="N255" i="7"/>
  <c r="N16" i="7"/>
  <c r="J16" i="7" s="1"/>
  <c r="N27" i="7"/>
  <c r="N140" i="7"/>
  <c r="N127" i="7"/>
  <c r="N132" i="7"/>
  <c r="N209" i="7"/>
  <c r="N119" i="7"/>
  <c r="J249" i="7" s="1"/>
  <c r="N28" i="7"/>
  <c r="N20" i="7"/>
  <c r="N198" i="7"/>
  <c r="N76" i="7"/>
  <c r="J141" i="7" s="1"/>
  <c r="N111" i="7"/>
  <c r="N167" i="7"/>
  <c r="N151" i="7"/>
  <c r="N221" i="7"/>
  <c r="N166" i="7"/>
  <c r="N194" i="7"/>
  <c r="N50" i="7"/>
  <c r="N63" i="7"/>
  <c r="N79" i="7"/>
  <c r="N78" i="7"/>
  <c r="N7" i="7"/>
  <c r="N242" i="7"/>
  <c r="N247" i="7"/>
  <c r="N199" i="7"/>
  <c r="N25" i="7"/>
  <c r="J25" i="7" s="1"/>
  <c r="N164" i="7"/>
  <c r="N106" i="7"/>
  <c r="N226" i="7"/>
  <c r="N142" i="7"/>
  <c r="N40" i="7"/>
  <c r="N181" i="7"/>
  <c r="N238" i="7"/>
  <c r="N203" i="7"/>
  <c r="N249" i="7"/>
  <c r="N22" i="7"/>
  <c r="N234" i="7"/>
  <c r="N104" i="7"/>
  <c r="J169" i="7" s="1"/>
  <c r="N246" i="7"/>
  <c r="N84" i="7"/>
  <c r="J149" i="7" s="1"/>
  <c r="N108" i="7"/>
  <c r="L173" i="7" s="1"/>
  <c r="N122" i="7"/>
  <c r="N219" i="7"/>
  <c r="N156" i="7"/>
  <c r="N125" i="7"/>
  <c r="N17" i="7"/>
  <c r="N115" i="7"/>
  <c r="N212" i="7"/>
  <c r="N235" i="7"/>
  <c r="N248" i="7"/>
  <c r="N75" i="7"/>
  <c r="N139" i="7"/>
  <c r="N229" i="7"/>
  <c r="N68" i="7"/>
  <c r="N197" i="7"/>
  <c r="N244" i="7"/>
  <c r="N218" i="7"/>
  <c r="N49" i="7"/>
  <c r="N128" i="7"/>
  <c r="N231" i="7"/>
  <c r="N65" i="7"/>
  <c r="N141" i="7"/>
  <c r="N91" i="7"/>
  <c r="J156" i="7" s="1"/>
  <c r="N161" i="7"/>
  <c r="N169" i="7"/>
  <c r="N87" i="7"/>
  <c r="J87" i="7" s="1"/>
  <c r="N216" i="7"/>
  <c r="N72" i="7"/>
  <c r="J72" i="7" s="1"/>
  <c r="N157" i="7"/>
  <c r="N145" i="7"/>
  <c r="N168" i="7"/>
  <c r="N41" i="7"/>
  <c r="L41" i="7" s="1"/>
  <c r="N220" i="7"/>
  <c r="N117" i="7"/>
  <c r="N204" i="7"/>
  <c r="N110" i="7"/>
  <c r="N126" i="7"/>
  <c r="N211" i="7"/>
  <c r="N195" i="7"/>
  <c r="N224" i="7"/>
  <c r="N85" i="7"/>
  <c r="N64" i="7"/>
  <c r="N233" i="7"/>
  <c r="N257" i="7"/>
  <c r="N114" i="7"/>
  <c r="N113" i="7"/>
  <c r="N47" i="7"/>
  <c r="J47" i="7" s="1"/>
  <c r="N52" i="7"/>
  <c r="N202" i="7"/>
  <c r="N18" i="7"/>
  <c r="J18" i="7" s="1"/>
  <c r="N258" i="7"/>
  <c r="N259" i="7" s="1"/>
  <c r="N213" i="7"/>
  <c r="N137" i="7"/>
  <c r="N200" i="7"/>
  <c r="N177" i="7"/>
  <c r="N206" i="7"/>
  <c r="N189" i="7"/>
  <c r="N35" i="7"/>
  <c r="J35" i="7" s="1"/>
  <c r="N153" i="7"/>
  <c r="N144" i="7"/>
  <c r="N236" i="7"/>
  <c r="N223" i="7"/>
  <c r="N184" i="7"/>
  <c r="N58" i="7"/>
  <c r="N123" i="7"/>
  <c r="N201" i="7"/>
  <c r="N147" i="7"/>
  <c r="N10" i="7"/>
  <c r="L10" i="7" s="1"/>
  <c r="N214" i="7"/>
  <c r="N133" i="7"/>
  <c r="N3" i="7"/>
  <c r="N4" i="7" s="1"/>
  <c r="N243" i="7"/>
  <c r="N92" i="7"/>
  <c r="J92" i="7" s="1"/>
  <c r="N237" i="7"/>
  <c r="N42" i="7"/>
  <c r="N59" i="7"/>
  <c r="N32" i="7"/>
  <c r="N105" i="7"/>
  <c r="N179" i="7"/>
  <c r="N30" i="7"/>
  <c r="N154" i="7"/>
  <c r="N77" i="7"/>
  <c r="L77" i="7" s="1"/>
  <c r="N12" i="7"/>
  <c r="N53" i="7"/>
  <c r="L53" i="7" s="1"/>
  <c r="N54" i="7"/>
  <c r="L54" i="7" s="1"/>
  <c r="N57" i="7"/>
  <c r="J57" i="7" s="1"/>
  <c r="N83" i="7"/>
  <c r="N43" i="7"/>
  <c r="N165" i="7"/>
  <c r="N97" i="7"/>
  <c r="N239" i="7"/>
  <c r="N172" i="7"/>
  <c r="N67" i="7"/>
  <c r="N109" i="7"/>
  <c r="N185" i="7"/>
  <c r="N19" i="7"/>
  <c r="J19" i="7" s="1"/>
  <c r="N121" i="7"/>
  <c r="N5" i="7"/>
  <c r="N6" i="7" s="1"/>
  <c r="N193" i="7"/>
  <c r="N222" i="7"/>
  <c r="N93" i="7"/>
  <c r="N13" i="7"/>
  <c r="J13" i="7" s="1"/>
  <c r="N9" i="7"/>
  <c r="L9" i="7" s="1"/>
  <c r="K9" i="7" s="1"/>
  <c r="N37" i="7"/>
  <c r="L37" i="7" s="1"/>
  <c r="J154" i="7"/>
  <c r="J96" i="7"/>
  <c r="L96" i="7"/>
  <c r="J38" i="7"/>
  <c r="J155" i="7"/>
  <c r="L90" i="7"/>
  <c r="J111" i="7"/>
  <c r="L176" i="7"/>
  <c r="L163" i="7"/>
  <c r="J116" i="7"/>
  <c r="L125" i="7"/>
  <c r="L76" i="7"/>
  <c r="J161" i="7"/>
  <c r="L154" i="7"/>
  <c r="J250" i="7"/>
  <c r="J62" i="7"/>
  <c r="J126" i="7"/>
  <c r="J61" i="7"/>
  <c r="L126" i="7"/>
  <c r="L61" i="7"/>
  <c r="L70" i="7"/>
  <c r="L135" i="7"/>
  <c r="L24" i="7"/>
  <c r="J98" i="7" l="1"/>
  <c r="L46" i="7"/>
  <c r="J46" i="7"/>
  <c r="J90" i="7"/>
  <c r="L87" i="7"/>
  <c r="L111" i="7"/>
  <c r="L14" i="7"/>
  <c r="M214" i="7"/>
  <c r="M246" i="7"/>
  <c r="I246" i="7"/>
  <c r="J246" i="7" s="1"/>
  <c r="D248" i="7"/>
  <c r="E9" i="11"/>
  <c r="C86" i="10"/>
  <c r="D221" i="7"/>
  <c r="C80" i="10"/>
  <c r="D215" i="7"/>
  <c r="H217" i="7"/>
  <c r="M217" i="7" s="1"/>
  <c r="H213" i="7"/>
  <c r="I213" i="7" s="1"/>
  <c r="J213" i="7" s="1"/>
  <c r="H230" i="7"/>
  <c r="I230" i="7" s="1"/>
  <c r="J230" i="7" s="1"/>
  <c r="M212" i="7"/>
  <c r="I212" i="7"/>
  <c r="J212" i="7" s="1"/>
  <c r="H231" i="7"/>
  <c r="I231" i="7" s="1"/>
  <c r="J21" i="7"/>
  <c r="J159" i="7"/>
  <c r="J51" i="7"/>
  <c r="J95" i="7"/>
  <c r="L33" i="7"/>
  <c r="J135" i="7"/>
  <c r="L95" i="7"/>
  <c r="L254" i="7"/>
  <c r="L127" i="7"/>
  <c r="J127" i="7"/>
  <c r="J104" i="7"/>
  <c r="J160" i="7"/>
  <c r="L25" i="7"/>
  <c r="L169" i="7"/>
  <c r="J74" i="7"/>
  <c r="L137" i="7"/>
  <c r="L168" i="7"/>
  <c r="J168" i="7"/>
  <c r="L48" i="7"/>
  <c r="L91" i="7"/>
  <c r="J103" i="7"/>
  <c r="J113" i="7"/>
  <c r="J91" i="7"/>
  <c r="L66" i="7"/>
  <c r="L131" i="7"/>
  <c r="J26" i="7"/>
  <c r="J139" i="7"/>
  <c r="J131" i="7"/>
  <c r="L156" i="7"/>
  <c r="L151" i="7"/>
  <c r="L97" i="7"/>
  <c r="J227" i="7"/>
  <c r="L227" i="7"/>
  <c r="J235" i="7"/>
  <c r="L235" i="7"/>
  <c r="L129" i="7"/>
  <c r="J194" i="7"/>
  <c r="L194" i="7"/>
  <c r="J179" i="7"/>
  <c r="L179" i="7"/>
  <c r="L166" i="7"/>
  <c r="L210" i="7"/>
  <c r="J210" i="7"/>
  <c r="J229" i="7"/>
  <c r="L229" i="7"/>
  <c r="L143" i="7"/>
  <c r="L208" i="7"/>
  <c r="J208" i="7"/>
  <c r="L82" i="7"/>
  <c r="L212" i="7"/>
  <c r="J189" i="7"/>
  <c r="L189" i="7"/>
  <c r="J123" i="7"/>
  <c r="J188" i="7"/>
  <c r="L188" i="7"/>
  <c r="J202" i="7"/>
  <c r="L202" i="7"/>
  <c r="L209" i="7"/>
  <c r="J209" i="7"/>
  <c r="L233" i="7"/>
  <c r="J233" i="7"/>
  <c r="J216" i="7"/>
  <c r="L216" i="7"/>
  <c r="J204" i="7"/>
  <c r="L204" i="7"/>
  <c r="J148" i="7"/>
  <c r="J193" i="7"/>
  <c r="L193" i="7"/>
  <c r="J81" i="7"/>
  <c r="J211" i="7"/>
  <c r="L211" i="7"/>
  <c r="L102" i="7"/>
  <c r="J232" i="7"/>
  <c r="L232" i="7"/>
  <c r="J185" i="7"/>
  <c r="L185" i="7"/>
  <c r="J199" i="7"/>
  <c r="L199" i="7"/>
  <c r="J187" i="7"/>
  <c r="L187" i="7"/>
  <c r="J152" i="7"/>
  <c r="L198" i="7"/>
  <c r="J198" i="7"/>
  <c r="J180" i="7"/>
  <c r="L180" i="7"/>
  <c r="L219" i="7"/>
  <c r="J219" i="7"/>
  <c r="J191" i="7"/>
  <c r="L191" i="7"/>
  <c r="L237" i="7"/>
  <c r="J237" i="7"/>
  <c r="J54" i="7"/>
  <c r="J184" i="7"/>
  <c r="L184" i="7"/>
  <c r="L92" i="7"/>
  <c r="J222" i="7"/>
  <c r="L222" i="7"/>
  <c r="J108" i="7"/>
  <c r="L238" i="7"/>
  <c r="J238" i="7"/>
  <c r="J218" i="7"/>
  <c r="L218" i="7"/>
  <c r="L220" i="7"/>
  <c r="J220" i="7"/>
  <c r="L183" i="7"/>
  <c r="J183" i="7"/>
  <c r="J182" i="7"/>
  <c r="L182" i="7"/>
  <c r="L240" i="7"/>
  <c r="J240" i="7"/>
  <c r="L149" i="7"/>
  <c r="J214" i="7"/>
  <c r="L214" i="7"/>
  <c r="J236" i="7"/>
  <c r="L236" i="7"/>
  <c r="J225" i="7"/>
  <c r="L225" i="7"/>
  <c r="J200" i="7"/>
  <c r="L200" i="7"/>
  <c r="J226" i="7"/>
  <c r="L226" i="7"/>
  <c r="L93" i="7"/>
  <c r="J223" i="7"/>
  <c r="L223" i="7"/>
  <c r="L112" i="7"/>
  <c r="J177" i="7"/>
  <c r="L177" i="7"/>
  <c r="J205" i="7"/>
  <c r="L205" i="7"/>
  <c r="J201" i="7"/>
  <c r="L201" i="7"/>
  <c r="J196" i="7"/>
  <c r="L196" i="7"/>
  <c r="L113" i="7"/>
  <c r="J178" i="7"/>
  <c r="L178" i="7"/>
  <c r="J239" i="7"/>
  <c r="L239" i="7"/>
  <c r="J142" i="7"/>
  <c r="J207" i="7"/>
  <c r="L207" i="7"/>
  <c r="J234" i="7"/>
  <c r="L234" i="7"/>
  <c r="J224" i="7"/>
  <c r="L224" i="7"/>
  <c r="J192" i="7"/>
  <c r="L192" i="7"/>
  <c r="L181" i="7"/>
  <c r="J181" i="7"/>
  <c r="L186" i="7"/>
  <c r="J186" i="7"/>
  <c r="J67" i="7"/>
  <c r="J197" i="7"/>
  <c r="L197" i="7"/>
  <c r="L195" i="7"/>
  <c r="J195" i="7"/>
  <c r="J203" i="7"/>
  <c r="L203" i="7"/>
  <c r="J241" i="7"/>
  <c r="L241" i="7"/>
  <c r="J206" i="7"/>
  <c r="L206" i="7"/>
  <c r="J190" i="7"/>
  <c r="L190" i="7"/>
  <c r="J163" i="7"/>
  <c r="J228" i="7"/>
  <c r="L228" i="7"/>
  <c r="J119" i="7"/>
  <c r="L58" i="7"/>
  <c r="L67" i="7"/>
  <c r="L132" i="7"/>
  <c r="J120" i="7"/>
  <c r="L120" i="7"/>
  <c r="J167" i="7"/>
  <c r="J132" i="7"/>
  <c r="L16" i="7"/>
  <c r="J122" i="7"/>
  <c r="L35" i="7"/>
  <c r="J37" i="7"/>
  <c r="J41" i="7"/>
  <c r="J10" i="7"/>
  <c r="L18" i="7"/>
  <c r="L118" i="7"/>
  <c r="L123" i="7"/>
  <c r="L119" i="7"/>
  <c r="L55" i="7"/>
  <c r="J84" i="7"/>
  <c r="J83" i="7"/>
  <c r="L81" i="7"/>
  <c r="J146" i="7"/>
  <c r="L167" i="7"/>
  <c r="L134" i="7"/>
  <c r="J97" i="7"/>
  <c r="L84" i="7"/>
  <c r="J69" i="7"/>
  <c r="L69" i="7"/>
  <c r="L152" i="7"/>
  <c r="J118" i="7"/>
  <c r="J102" i="7"/>
  <c r="J134" i="7"/>
  <c r="J55" i="7"/>
  <c r="J52" i="7"/>
  <c r="J157" i="7"/>
  <c r="J53" i="7"/>
  <c r="J34" i="7"/>
  <c r="L19" i="7"/>
  <c r="L148" i="7"/>
  <c r="L83" i="7"/>
  <c r="L249" i="7"/>
  <c r="J117" i="7"/>
  <c r="J158" i="7"/>
  <c r="J56" i="7"/>
  <c r="L157" i="7"/>
  <c r="J150" i="7"/>
  <c r="L147" i="7"/>
  <c r="J107" i="7"/>
  <c r="J82" i="7"/>
  <c r="J143" i="7"/>
  <c r="J147" i="7"/>
  <c r="L121" i="7"/>
  <c r="L15" i="7"/>
  <c r="J93" i="7"/>
  <c r="J85" i="7"/>
  <c r="L56" i="7"/>
  <c r="L158" i="7"/>
  <c r="J121" i="7"/>
  <c r="L145" i="7"/>
  <c r="J162" i="7"/>
  <c r="J32" i="7"/>
  <c r="L32" i="7"/>
  <c r="L85" i="7"/>
  <c r="L150" i="7"/>
  <c r="J255" i="7"/>
  <c r="L255" i="7"/>
  <c r="L78" i="7"/>
  <c r="J78" i="7"/>
  <c r="L172" i="7"/>
  <c r="J172" i="7"/>
  <c r="L107" i="7"/>
  <c r="J39" i="7"/>
  <c r="L39" i="7"/>
  <c r="J166" i="7"/>
  <c r="L59" i="7"/>
  <c r="L124" i="7"/>
  <c r="J124" i="7"/>
  <c r="J59" i="7"/>
  <c r="J137" i="7"/>
  <c r="L72" i="7"/>
  <c r="L144" i="7"/>
  <c r="L79" i="7"/>
  <c r="J144" i="7"/>
  <c r="J79" i="7"/>
  <c r="J28" i="7"/>
  <c r="L28" i="7"/>
  <c r="L100" i="7"/>
  <c r="J100" i="7"/>
  <c r="L165" i="7"/>
  <c r="L86" i="7"/>
  <c r="J86" i="7"/>
  <c r="L74" i="7"/>
  <c r="J64" i="7"/>
  <c r="L64" i="7"/>
  <c r="L23" i="7"/>
  <c r="J40" i="7"/>
  <c r="L40" i="7"/>
  <c r="L63" i="7"/>
  <c r="J63" i="7"/>
  <c r="L128" i="7"/>
  <c r="J128" i="7"/>
  <c r="L146" i="7"/>
  <c r="J31" i="7"/>
  <c r="L31" i="7"/>
  <c r="L246" i="7"/>
  <c r="L162" i="7"/>
  <c r="J164" i="7"/>
  <c r="J101" i="7"/>
  <c r="J58" i="7"/>
  <c r="L57" i="7"/>
  <c r="L122" i="7"/>
  <c r="L133" i="7"/>
  <c r="L68" i="7"/>
  <c r="J68" i="7"/>
  <c r="J133" i="7"/>
  <c r="J50" i="7"/>
  <c r="J115" i="7"/>
  <c r="L50" i="7"/>
  <c r="L115" i="7"/>
  <c r="L89" i="7"/>
  <c r="J89" i="7"/>
  <c r="J99" i="7"/>
  <c r="L256" i="7"/>
  <c r="J256" i="7"/>
  <c r="L108" i="7"/>
  <c r="J173" i="7"/>
  <c r="L88" i="7"/>
  <c r="L153" i="7"/>
  <c r="J88" i="7"/>
  <c r="J153" i="7"/>
  <c r="J80" i="7"/>
  <c r="L99" i="7"/>
  <c r="L117" i="7"/>
  <c r="L52" i="7"/>
  <c r="J171" i="7"/>
  <c r="L171" i="7"/>
  <c r="J106" i="7"/>
  <c r="L106" i="7"/>
  <c r="J17" i="7"/>
  <c r="L17" i="7"/>
  <c r="L13" i="7"/>
  <c r="L101" i="7"/>
  <c r="L164" i="7"/>
  <c r="L12" i="7"/>
  <c r="J12" i="7"/>
  <c r="L47" i="7"/>
  <c r="J112" i="7"/>
  <c r="J75" i="7"/>
  <c r="L140" i="7"/>
  <c r="J140" i="7"/>
  <c r="L75" i="7"/>
  <c r="L136" i="7"/>
  <c r="J136" i="7"/>
  <c r="J71" i="7"/>
  <c r="L71" i="7"/>
  <c r="L142" i="7"/>
  <c r="J77" i="7"/>
  <c r="J247" i="7"/>
  <c r="L247" i="7"/>
  <c r="L104" i="7"/>
  <c r="J27" i="7"/>
  <c r="L27" i="7"/>
  <c r="L94" i="7"/>
  <c r="J94" i="7"/>
  <c r="L116" i="7"/>
  <c r="L80" i="7"/>
  <c r="J129" i="7"/>
  <c r="J65" i="7"/>
  <c r="L130" i="7"/>
  <c r="J130" i="7"/>
  <c r="L65" i="7"/>
  <c r="J73" i="7"/>
  <c r="J138" i="7"/>
  <c r="L138" i="7"/>
  <c r="L73" i="7"/>
  <c r="J30" i="7"/>
  <c r="L30" i="7"/>
  <c r="J22" i="7"/>
  <c r="L22" i="7"/>
  <c r="L11" i="7"/>
  <c r="J11" i="7"/>
  <c r="J29" i="7"/>
  <c r="L29" i="7"/>
  <c r="J105" i="7"/>
  <c r="J170" i="7"/>
  <c r="L105" i="7"/>
  <c r="L170" i="7"/>
  <c r="J49" i="7"/>
  <c r="L114" i="7"/>
  <c r="J114" i="7"/>
  <c r="L49" i="7"/>
  <c r="J145" i="7"/>
  <c r="L141" i="7"/>
  <c r="J76" i="7"/>
  <c r="L60" i="7"/>
  <c r="J60" i="7"/>
  <c r="L231" i="7" l="1"/>
  <c r="L230" i="7"/>
  <c r="L217" i="7"/>
  <c r="M230" i="7"/>
  <c r="H215" i="7"/>
  <c r="I215" i="7" s="1"/>
  <c r="H221" i="7"/>
  <c r="I221" i="7" s="1"/>
  <c r="J231" i="7"/>
  <c r="D251" i="7"/>
  <c r="D9" i="11"/>
  <c r="B251" i="7" s="1"/>
  <c r="M248" i="7"/>
  <c r="I248" i="7"/>
  <c r="J248" i="7" s="1"/>
  <c r="L248" i="7"/>
  <c r="M213" i="7"/>
  <c r="L213" i="7"/>
  <c r="I217" i="7"/>
  <c r="J217" i="7" s="1"/>
  <c r="M231" i="7"/>
  <c r="M251" i="7" l="1"/>
  <c r="I251" i="7"/>
  <c r="J251" i="7" s="1"/>
  <c r="L251" i="7"/>
  <c r="L221" i="7"/>
  <c r="J221" i="7"/>
  <c r="M221" i="7"/>
  <c r="D258" i="7"/>
  <c r="M215" i="7"/>
  <c r="J215" i="7"/>
  <c r="L215" i="7"/>
  <c r="H258" i="7"/>
  <c r="J258" i="7" l="1"/>
  <c r="L258" i="7"/>
  <c r="J265" i="7" s="1"/>
  <c r="A2" i="7"/>
  <c r="C262" i="7" l="1"/>
  <c r="B262" i="7" s="1"/>
  <c r="C263" i="7" s="1"/>
  <c r="B263" i="7" s="1"/>
  <c r="C264" i="7" s="1"/>
  <c r="B264" i="7" s="1"/>
  <c r="C261" i="7"/>
  <c r="K258" i="7"/>
  <c r="D263" i="7" l="1"/>
  <c r="E263" i="7"/>
  <c r="D262" i="7"/>
  <c r="E262" i="7"/>
  <c r="C265" i="7"/>
  <c r="B265" i="7" s="1"/>
  <c r="E264" i="7"/>
  <c r="D264" i="7"/>
  <c r="C266" i="7" l="1"/>
  <c r="E265" i="7"/>
  <c r="D265" i="7"/>
  <c r="D266" i="7" l="1"/>
  <c r="E266" i="7"/>
</calcChain>
</file>

<file path=xl/sharedStrings.xml><?xml version="1.0" encoding="utf-8"?>
<sst xmlns="http://schemas.openxmlformats.org/spreadsheetml/2006/main" count="1716" uniqueCount="381">
  <si>
    <t>BUCHFÜHRUNGSBEISPIEL</t>
  </si>
  <si>
    <t>Doppelte Buchführung (Doppik)</t>
  </si>
  <si>
    <t>Gruppe</t>
  </si>
  <si>
    <t xml:space="preserve">Gruppe: </t>
  </si>
  <si>
    <t>Spalte</t>
  </si>
  <si>
    <t>%</t>
  </si>
  <si>
    <t>Betrag</t>
  </si>
  <si>
    <t>E</t>
  </si>
  <si>
    <t>Inventurliste (Anfangsbestände)</t>
  </si>
  <si>
    <t>BNr.</t>
  </si>
  <si>
    <t>Dat.</t>
  </si>
  <si>
    <t>Text</t>
  </si>
  <si>
    <t>EB</t>
  </si>
  <si>
    <t>01.01.</t>
  </si>
  <si>
    <t>AB Gebäude</t>
  </si>
  <si>
    <t>AB Maschinen</t>
  </si>
  <si>
    <t>AB Schafe</t>
  </si>
  <si>
    <t>AB Vorräte selbsterz.</t>
  </si>
  <si>
    <t>AB Vorräte zugekaufte</t>
  </si>
  <si>
    <t>AB Kassa (Bargeld)</t>
  </si>
  <si>
    <t>AB Giro (Bankguthaben)</t>
  </si>
  <si>
    <t>AB Forderungen
Metzger Müller</t>
  </si>
  <si>
    <t>AB Verbindlichkeiten Maschinenring Imst</t>
  </si>
  <si>
    <t>AB Darlehen</t>
  </si>
  <si>
    <t>Belegsammlung</t>
  </si>
  <si>
    <t>Zahlungsform</t>
  </si>
  <si>
    <t>K1</t>
  </si>
  <si>
    <t>07.01.</t>
  </si>
  <si>
    <t>Metzger Müller zahlt Rechnung aus Vorjahr</t>
  </si>
  <si>
    <t>bar</t>
  </si>
  <si>
    <t>B1</t>
  </si>
  <si>
    <t>10.01.</t>
  </si>
  <si>
    <t>Zahlung MR-Rechnung Vorjahr</t>
  </si>
  <si>
    <t>Überweisung</t>
  </si>
  <si>
    <t>B2</t>
  </si>
  <si>
    <t>15.02.</t>
  </si>
  <si>
    <t>Treibstoffkauf</t>
  </si>
  <si>
    <t>A1</t>
  </si>
  <si>
    <t>21.03.</t>
  </si>
  <si>
    <t>Zuchtschafverkauf</t>
  </si>
  <si>
    <t>Rechnung: Tiroler Schafzuchtverband (TSV)</t>
  </si>
  <si>
    <t>B3</t>
  </si>
  <si>
    <t>20.04.</t>
  </si>
  <si>
    <t>TSV überweist Vesteigerungsentgelt</t>
  </si>
  <si>
    <t>B4</t>
  </si>
  <si>
    <t>09 06..</t>
  </si>
  <si>
    <t>Kauf Kreiselzetter</t>
  </si>
  <si>
    <t>K2</t>
  </si>
  <si>
    <t>14.07.</t>
  </si>
  <si>
    <t>Milchgeld (Schafmilch, Sammelbeleg)</t>
  </si>
  <si>
    <t>B5</t>
  </si>
  <si>
    <t>02.08.</t>
  </si>
  <si>
    <t>Wohnhausumbau</t>
  </si>
  <si>
    <t>B6</t>
  </si>
  <si>
    <t>08.09.</t>
  </si>
  <si>
    <t>Rückzahlung Darlehen</t>
  </si>
  <si>
    <t xml:space="preserve">Darl.: Tilgung </t>
  </si>
  <si>
    <t>Darl.: Zinsen</t>
  </si>
  <si>
    <t>UB1</t>
  </si>
  <si>
    <t>30.11.</t>
  </si>
  <si>
    <t>Eigenverbrauch Schafmilchprodukte</t>
  </si>
  <si>
    <t xml:space="preserve">Milch </t>
  </si>
  <si>
    <t>Butter</t>
  </si>
  <si>
    <t>Käse</t>
  </si>
  <si>
    <t>Abschlußvorbereitungen (Ergebnisse aus den Inventurlisten)</t>
  </si>
  <si>
    <t>Abschreibung für Abnutzung</t>
  </si>
  <si>
    <t>AB</t>
  </si>
  <si>
    <t>31.12.</t>
  </si>
  <si>
    <t>Afa Gebäude</t>
  </si>
  <si>
    <t>Afa Maschinen</t>
  </si>
  <si>
    <t>Mehr- und Minderwerte</t>
  </si>
  <si>
    <t>Mehrwert Schafe</t>
  </si>
  <si>
    <t>Minderwert se. Vorr. (Schafskäse)</t>
  </si>
  <si>
    <t>Mehrwert zk. Vorr. (Treibstoff)</t>
  </si>
  <si>
    <t>© Mag. Wolfgang Harasleben</t>
  </si>
  <si>
    <t>BNr</t>
  </si>
  <si>
    <t>Dat</t>
  </si>
  <si>
    <t>B_Text</t>
  </si>
  <si>
    <t>Kontenplan für landwirtschaftliche Betriebe</t>
  </si>
  <si>
    <t>Klasse 0:</t>
  </si>
  <si>
    <t>ANLAGEVERMÖGEN</t>
  </si>
  <si>
    <t>Klasse1:</t>
  </si>
  <si>
    <t>VORRÄTE und VIEH</t>
  </si>
  <si>
    <t>Klasse 5:</t>
  </si>
  <si>
    <t>MATERIALAUFWAND (Aufwand für bezogene Leistungen)</t>
  </si>
  <si>
    <t>Klasse 2:</t>
  </si>
  <si>
    <t>Sonstiges UMLAUFVERMÖGEN</t>
  </si>
  <si>
    <t>Klasse 6:</t>
  </si>
  <si>
    <t>PERSONALAUFWAND</t>
  </si>
  <si>
    <t>Klasse 3:</t>
  </si>
  <si>
    <t>VERBINDLICHKEITEN</t>
  </si>
  <si>
    <t>Klasse 7:</t>
  </si>
  <si>
    <t>ABSCHREIBUNGEN (sonstige betriebliche Aufwendungen)</t>
  </si>
  <si>
    <t>Klasse 4:</t>
  </si>
  <si>
    <t>Betriebliche ERTRÄGE</t>
  </si>
  <si>
    <t>Klasse 8:</t>
  </si>
  <si>
    <t>FINANZERTRÄGE &amp; -AUFWENDUNGEN (ao Ertr u Aufw)</t>
  </si>
  <si>
    <t>Klasse 9:</t>
  </si>
  <si>
    <t>EIGENKAPITAL, ABSCHLUSSKONTEN</t>
  </si>
  <si>
    <t>Kontenplan</t>
  </si>
  <si>
    <t>Vorkontierung</t>
  </si>
  <si>
    <t>BESTANDSKONTEN</t>
  </si>
  <si>
    <t>Buchungssätze</t>
  </si>
  <si>
    <t>Klasse 0</t>
  </si>
  <si>
    <t>Klasse 1</t>
  </si>
  <si>
    <t>Kto.Nr.:</t>
  </si>
  <si>
    <t>Nr:</t>
  </si>
  <si>
    <t>Dat.:</t>
  </si>
  <si>
    <t>SOLL</t>
  </si>
  <si>
    <t>HABEN</t>
  </si>
  <si>
    <t>SALDO</t>
  </si>
  <si>
    <t>Summe</t>
  </si>
  <si>
    <t>Klasse 2</t>
  </si>
  <si>
    <t xml:space="preserve"> 28000</t>
  </si>
  <si>
    <t>Klasse 3</t>
  </si>
  <si>
    <t>BK-Buchungen</t>
  </si>
  <si>
    <t>ERFOLGSKONTEN</t>
  </si>
  <si>
    <t>Klasse 4</t>
  </si>
  <si>
    <t xml:space="preserve"> 41400</t>
  </si>
  <si>
    <t>Klasse 5 oder 6</t>
  </si>
  <si>
    <t>Klasse 7</t>
  </si>
  <si>
    <t>Klasse 8</t>
  </si>
  <si>
    <t>EK-Buchungen</t>
  </si>
  <si>
    <t>ABSCHLUSSKONTEN</t>
  </si>
  <si>
    <t>Klasse 9</t>
  </si>
  <si>
    <t xml:space="preserve"> 96000</t>
  </si>
  <si>
    <t xml:space="preserve"> 98500</t>
  </si>
  <si>
    <t xml:space="preserve"> 98900</t>
  </si>
  <si>
    <t xml:space="preserve"> 98000</t>
  </si>
  <si>
    <t xml:space="preserve"> 90000</t>
  </si>
  <si>
    <t>EAK-Buchungen</t>
  </si>
  <si>
    <t>Gewinnermittlung</t>
  </si>
  <si>
    <t>Vermögensvergleich</t>
  </si>
  <si>
    <t>Eigenkapital am Ende des Jahres</t>
  </si>
  <si>
    <t>-</t>
  </si>
  <si>
    <t>Eigenkapital zu Beginn des Jahres</t>
  </si>
  <si>
    <t>=</t>
  </si>
  <si>
    <t>Eigenkapitalveränderung</t>
  </si>
  <si>
    <t>+</t>
  </si>
  <si>
    <t>Privatentnahmen</t>
  </si>
  <si>
    <t>Privateinlagen</t>
  </si>
  <si>
    <t>Gewinn- und Verlustrechung</t>
  </si>
  <si>
    <t>Summe Erträge</t>
  </si>
  <si>
    <t>Summe Aufwände</t>
  </si>
  <si>
    <t>Korrekturblatt</t>
  </si>
  <si>
    <t>unabhängige Ergebnisse</t>
  </si>
  <si>
    <t>abhängige Ergebnisse (werden wenn die Formel korrekt ist, als Folgefehler mit 0,5 Punkten bewertet)</t>
  </si>
  <si>
    <t>Ergebnis</t>
  </si>
  <si>
    <t>Formel-
prüfung</t>
  </si>
  <si>
    <t>Deine Be-rechnung</t>
  </si>
  <si>
    <t>Punkte</t>
  </si>
  <si>
    <t>1.</t>
  </si>
  <si>
    <t>Vorkontieren (Bildung von Buchungssätzen)</t>
  </si>
  <si>
    <t>Eröffnungsbuchungen</t>
  </si>
  <si>
    <t xml:space="preserve"> </t>
  </si>
  <si>
    <t>│</t>
  </si>
  <si>
    <t>Laufende Geschäftsfällte</t>
  </si>
  <si>
    <t>Abschlussvorbereitungen</t>
  </si>
  <si>
    <t>2.</t>
  </si>
  <si>
    <t>Laufende Buchungen</t>
  </si>
  <si>
    <t>Bestandskonten</t>
  </si>
  <si>
    <t>Erfolgskonten</t>
  </si>
  <si>
    <t>Eröffnungs- und Abschlussbuchungen</t>
  </si>
  <si>
    <t>3.</t>
  </si>
  <si>
    <t>Erfolgsermittlung (Gewinn/Verlust)</t>
  </si>
  <si>
    <t>Gewinn- und Verlustrechnung</t>
  </si>
  <si>
    <t>Gesamtpunktezahl</t>
  </si>
  <si>
    <t>Note</t>
  </si>
  <si>
    <t>Abstufung 1</t>
  </si>
  <si>
    <t>Abstufung 2</t>
  </si>
  <si>
    <t xml:space="preserve"> 03000</t>
  </si>
  <si>
    <t>Betriebs- und Geschäftsgebäude</t>
  </si>
  <si>
    <t xml:space="preserve"> 04000</t>
  </si>
  <si>
    <t xml:space="preserve"> 14300</t>
  </si>
  <si>
    <t xml:space="preserve"> 14020</t>
  </si>
  <si>
    <t xml:space="preserve"> 11050</t>
  </si>
  <si>
    <t xml:space="preserve"> 27000</t>
  </si>
  <si>
    <t xml:space="preserve"> 200002</t>
  </si>
  <si>
    <t xml:space="preserve"> 330001</t>
  </si>
  <si>
    <t xml:space="preserve"> 31510</t>
  </si>
  <si>
    <t xml:space="preserve"> 56015</t>
  </si>
  <si>
    <t xml:space="preserve"> 200001</t>
  </si>
  <si>
    <t xml:space="preserve"> 82800</t>
  </si>
  <si>
    <t xml:space="preserve"> 70200</t>
  </si>
  <si>
    <t>KtoNr.</t>
  </si>
  <si>
    <t>Klasse</t>
  </si>
  <si>
    <t xml:space="preserve"> 02000</t>
  </si>
  <si>
    <t>Grund und Boden (unbebaute Grundstücke)</t>
  </si>
  <si>
    <t xml:space="preserve"> 02004</t>
  </si>
  <si>
    <t>Grundverbesserung (unbebaute Grundstücke)</t>
  </si>
  <si>
    <t>Maschinen und Geräte</t>
  </si>
  <si>
    <t xml:space="preserve"> 05100</t>
  </si>
  <si>
    <t>allgemeine Werkzeuge und Handwerkzeuge</t>
  </si>
  <si>
    <t xml:space="preserve"> 06000</t>
  </si>
  <si>
    <t>Betriebs- und Geschäftsausstattung</t>
  </si>
  <si>
    <t xml:space="preserve"> 07100</t>
  </si>
  <si>
    <t>Anlagen in Bau</t>
  </si>
  <si>
    <t xml:space="preserve"> 09000</t>
  </si>
  <si>
    <t>Genossenschaftsanteile</t>
  </si>
  <si>
    <t>Zugekaufte Vorräte 20%</t>
  </si>
  <si>
    <t>1</t>
  </si>
  <si>
    <t>Selbst erzeugte Vorräte</t>
  </si>
  <si>
    <t>Bestand Vieh</t>
  </si>
  <si>
    <t xml:space="preserve"> 14350</t>
  </si>
  <si>
    <t>Vorräte tierische Produkte</t>
  </si>
  <si>
    <t xml:space="preserve"> 14400</t>
  </si>
  <si>
    <t>Vorräte Forstwirtschaft</t>
  </si>
  <si>
    <t xml:space="preserve"> 20000</t>
  </si>
  <si>
    <t>Lieferforderungen (Sammelkonto)</t>
  </si>
  <si>
    <t>2</t>
  </si>
  <si>
    <t>Tiroler Schafzuchtverband (TSV)</t>
  </si>
  <si>
    <t>Metzger Müller</t>
  </si>
  <si>
    <t xml:space="preserve"> 200003</t>
  </si>
  <si>
    <t>Kunde XY</t>
  </si>
  <si>
    <t xml:space="preserve"> 200004</t>
  </si>
  <si>
    <t xml:space="preserve"> 200005</t>
  </si>
  <si>
    <t>Lieferforderungen Molkerei</t>
  </si>
  <si>
    <t xml:space="preserve"> 200006</t>
  </si>
  <si>
    <t>Lieferforderungen Landesproduktenhändler</t>
  </si>
  <si>
    <t xml:space="preserve"> 23000</t>
  </si>
  <si>
    <t>Sonstige Forderungen</t>
  </si>
  <si>
    <t xml:space="preserve"> 25000</t>
  </si>
  <si>
    <t>Vorsteuer</t>
  </si>
  <si>
    <t>Kassa</t>
  </si>
  <si>
    <t>Bank - betrieblich 1</t>
  </si>
  <si>
    <t xml:space="preserve"> 29000</t>
  </si>
  <si>
    <t>aktive Rechnungsabgrenzungsposten</t>
  </si>
  <si>
    <t>Darlehen - betrieblich</t>
  </si>
  <si>
    <t>3</t>
  </si>
  <si>
    <t xml:space="preserve"> 31610</t>
  </si>
  <si>
    <t>AIK</t>
  </si>
  <si>
    <t xml:space="preserve"> 31700</t>
  </si>
  <si>
    <t>Darlehen privat</t>
  </si>
  <si>
    <t xml:space="preserve"> 33000</t>
  </si>
  <si>
    <t>Lieferverbindlichkeiten Inland</t>
  </si>
  <si>
    <t>Maschinenring Imst</t>
  </si>
  <si>
    <t xml:space="preserve"> 330002</t>
  </si>
  <si>
    <t>Landmaschinenhändler</t>
  </si>
  <si>
    <t xml:space="preserve"> 330003</t>
  </si>
  <si>
    <t>Lieferant XY</t>
  </si>
  <si>
    <t xml:space="preserve"> 330004</t>
  </si>
  <si>
    <t xml:space="preserve"> 35000</t>
  </si>
  <si>
    <t>Umsatzsteuer</t>
  </si>
  <si>
    <t xml:space="preserve"> 37000</t>
  </si>
  <si>
    <t>übrige sonstige Verbindlichkeiten</t>
  </si>
  <si>
    <t xml:space="preserve"> 39000</t>
  </si>
  <si>
    <t>Passive Rechnungsabgrenzungsposten</t>
  </si>
  <si>
    <t xml:space="preserve"> 40020</t>
  </si>
  <si>
    <t>Einnahmen Getreide</t>
  </si>
  <si>
    <t>4</t>
  </si>
  <si>
    <t xml:space="preserve"> 40210</t>
  </si>
  <si>
    <t>Einnahmen Hackfrüchte</t>
  </si>
  <si>
    <t xml:space="preserve"> 40410</t>
  </si>
  <si>
    <t>Einnahmen Futterbauerzeugnisse - Ackerfutterbau</t>
  </si>
  <si>
    <t xml:space="preserve"> 40415</t>
  </si>
  <si>
    <t>Einnahmen Ackerfutterbau</t>
  </si>
  <si>
    <t xml:space="preserve"> 40710</t>
  </si>
  <si>
    <t>Einnahmen Obstbau</t>
  </si>
  <si>
    <t xml:space="preserve"> 40770</t>
  </si>
  <si>
    <t>Einnahmen Obst - Obstprodukte</t>
  </si>
  <si>
    <t xml:space="preserve"> 41220</t>
  </si>
  <si>
    <t>Einnahmen Rinder</t>
  </si>
  <si>
    <t xml:space="preserve"> 41240</t>
  </si>
  <si>
    <t>Einnahmen Milchkühe</t>
  </si>
  <si>
    <t>Einnahmen Schafe</t>
  </si>
  <si>
    <t xml:space="preserve"> 41830</t>
  </si>
  <si>
    <t>Einnahmen Viehwirtschaft - Sonstige Tiere</t>
  </si>
  <si>
    <t xml:space="preserve"> 41900</t>
  </si>
  <si>
    <t>Einnahmen Forstwirtschaft</t>
  </si>
  <si>
    <t xml:space="preserve"> 45600</t>
  </si>
  <si>
    <t>Bestandsveränderungen Vieh</t>
  </si>
  <si>
    <t xml:space="preserve"> 45650</t>
  </si>
  <si>
    <t>Bestandsveränderungen tierische Produkte</t>
  </si>
  <si>
    <t xml:space="preserve"> 45700</t>
  </si>
  <si>
    <t>Bestandsveränderungen Erzeugnisse Forstwirtschaft</t>
  </si>
  <si>
    <t xml:space="preserve"> 46000</t>
  </si>
  <si>
    <t>Einnahmen aus dem Abgang von Anlagen</t>
  </si>
  <si>
    <t xml:space="preserve"> 48030</t>
  </si>
  <si>
    <t>Sonstige betriebliche Erträge</t>
  </si>
  <si>
    <t xml:space="preserve"> 48150</t>
  </si>
  <si>
    <t>Erträge Direktvermarktung - Urproduktion</t>
  </si>
  <si>
    <t xml:space="preserve"> 48160</t>
  </si>
  <si>
    <t>Erträge Direktvermarktung - Be- und Verarbeitung</t>
  </si>
  <si>
    <t xml:space="preserve"> 48605</t>
  </si>
  <si>
    <t>Zuwendungen aus öffentlichen Mitteln</t>
  </si>
  <si>
    <t xml:space="preserve"> 48610</t>
  </si>
  <si>
    <t>Marktordnungsmaßnahmen</t>
  </si>
  <si>
    <t xml:space="preserve"> 48615</t>
  </si>
  <si>
    <t>Enheitliche Betriebsprämie</t>
  </si>
  <si>
    <t xml:space="preserve"> 48620</t>
  </si>
  <si>
    <t>Ertragszuschüsse Bodennutzung</t>
  </si>
  <si>
    <t xml:space="preserve"> 48625</t>
  </si>
  <si>
    <t>Ertragszuschüsse Tierhaltung</t>
  </si>
  <si>
    <t xml:space="preserve"> 48635</t>
  </si>
  <si>
    <t>Ausgleichszulage für benachteiligte Gebiete</t>
  </si>
  <si>
    <t xml:space="preserve"> 48640</t>
  </si>
  <si>
    <t>Umweltprämien (ÖPUL)</t>
  </si>
  <si>
    <t xml:space="preserve"> 48810</t>
  </si>
  <si>
    <t>Versicherungsvergütungen</t>
  </si>
  <si>
    <t xml:space="preserve"> 50050</t>
  </si>
  <si>
    <t>Saatgut u. Sämereien</t>
  </si>
  <si>
    <t>5</t>
  </si>
  <si>
    <t xml:space="preserve"> 50100</t>
  </si>
  <si>
    <t>Pflanzenschutzmittel</t>
  </si>
  <si>
    <t xml:space="preserve"> 50150</t>
  </si>
  <si>
    <t>Düngemittel</t>
  </si>
  <si>
    <t xml:space="preserve"> 50180</t>
  </si>
  <si>
    <t>sonstiger Bodennutzungsaufwand</t>
  </si>
  <si>
    <t xml:space="preserve"> 53050</t>
  </si>
  <si>
    <t>Viehwirtschaft</t>
  </si>
  <si>
    <t xml:space="preserve"> 53105</t>
  </si>
  <si>
    <t>Rinder</t>
  </si>
  <si>
    <t xml:space="preserve"> 53205</t>
  </si>
  <si>
    <t>Schafe</t>
  </si>
  <si>
    <t xml:space="preserve"> 53800</t>
  </si>
  <si>
    <t>Sonstige Tiere</t>
  </si>
  <si>
    <t xml:space="preserve"> 53900</t>
  </si>
  <si>
    <t>Viehwirtschaft - Kraftfutter</t>
  </si>
  <si>
    <t xml:space="preserve"> 53960</t>
  </si>
  <si>
    <t>Sonstiger Tierhaltungsaufwand</t>
  </si>
  <si>
    <t xml:space="preserve"> 55650</t>
  </si>
  <si>
    <t>Ausgaben für Direktvermarktung</t>
  </si>
  <si>
    <t>Treibstoff Diesel</t>
  </si>
  <si>
    <t xml:space="preserve"> 56100</t>
  </si>
  <si>
    <t>Strom</t>
  </si>
  <si>
    <t xml:space="preserve"> 56150</t>
  </si>
  <si>
    <t>Heizung, Gas, Energie</t>
  </si>
  <si>
    <t xml:space="preserve"> 56200</t>
  </si>
  <si>
    <t>Wasser und Kanalgebühren</t>
  </si>
  <si>
    <t xml:space="preserve"> 57100</t>
  </si>
  <si>
    <t>Transport- und Maschinenleistungen</t>
  </si>
  <si>
    <t xml:space="preserve"> 57210</t>
  </si>
  <si>
    <t>Fremdleistung Tiergesundheit</t>
  </si>
  <si>
    <t xml:space="preserve"> 57220</t>
  </si>
  <si>
    <t>Fremdleistung Besamung</t>
  </si>
  <si>
    <t xml:space="preserve"> 60000</t>
  </si>
  <si>
    <t>Löhne</t>
  </si>
  <si>
    <t>6</t>
  </si>
  <si>
    <t xml:space="preserve"> 60900</t>
  </si>
  <si>
    <t>Sachbezüge (Arbeiter)</t>
  </si>
  <si>
    <t xml:space="preserve"> 66100</t>
  </si>
  <si>
    <t>Lohnsteuer</t>
  </si>
  <si>
    <t xml:space="preserve"> 67500</t>
  </si>
  <si>
    <t>Arbeitskleidung</t>
  </si>
  <si>
    <t>Abschreibung Sachanlagevermögen</t>
  </si>
  <si>
    <t>7</t>
  </si>
  <si>
    <t xml:space="preserve"> 70210</t>
  </si>
  <si>
    <t>geringwertiges Sachanlagevermögen GWG</t>
  </si>
  <si>
    <t xml:space="preserve"> 71800</t>
  </si>
  <si>
    <t>Sonstige Gebühren und Abgaben</t>
  </si>
  <si>
    <t xml:space="preserve"> 72000</t>
  </si>
  <si>
    <t>Instandhaltung</t>
  </si>
  <si>
    <t xml:space="preserve"> 73800</t>
  </si>
  <si>
    <t>Telefon und Internet</t>
  </si>
  <si>
    <t xml:space="preserve"> 73900</t>
  </si>
  <si>
    <t>Postgebühren</t>
  </si>
  <si>
    <t xml:space="preserve"> 77000</t>
  </si>
  <si>
    <t>Sachversicherungen</t>
  </si>
  <si>
    <t xml:space="preserve"> 78400</t>
  </si>
  <si>
    <t>sonstige betriebliche Aufwendungen</t>
  </si>
  <si>
    <t xml:space="preserve"> 79000</t>
  </si>
  <si>
    <t>Ausgedinge, Leibrentenzahlung</t>
  </si>
  <si>
    <t xml:space="preserve"> 81000</t>
  </si>
  <si>
    <t>Zinserträge aus Bankguthaben</t>
  </si>
  <si>
    <t>8</t>
  </si>
  <si>
    <t>Zinsen für Bankkredite</t>
  </si>
  <si>
    <t xml:space="preserve"> 84000</t>
  </si>
  <si>
    <t>außerordentliche Erträge</t>
  </si>
  <si>
    <t xml:space="preserve"> 84500</t>
  </si>
  <si>
    <t>außerordentliche Aufwendungen</t>
  </si>
  <si>
    <t>Kapital</t>
  </si>
  <si>
    <t>9</t>
  </si>
  <si>
    <t>Privat</t>
  </si>
  <si>
    <t>Eröffnungsbilanzkonto (EBK)</t>
  </si>
  <si>
    <t>Schlussbilanzkonto (SBK)</t>
  </si>
  <si>
    <t>Gewinn- und Verlustkonto (GuV)</t>
  </si>
  <si>
    <t>Gewinn aktuelles Jahr (ausgegliedertes Gegenkonto)</t>
  </si>
  <si>
    <t xml:space="preserve"> 98910</t>
  </si>
  <si>
    <t>Verlust aktuelles Jahr (ausgegliedertes Gegenkonto)</t>
  </si>
  <si>
    <t/>
  </si>
  <si>
    <t>Version: 2023.09.13.004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</si>
</sst>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
    <numFmt numFmtId="165" formatCode="#,##0.0#\ %"/>
    <numFmt numFmtId="166" formatCode="0.0"/>
    <numFmt numFmtId="167" formatCode="&quot;Ergebnis in Prozent:&quot;\ 0\ %"/>
    <numFmt numFmtId="168" formatCode="0\ &quot;bis&quot;"/>
    <numFmt numFmtId="169" formatCode="&quot;oder&quot;\ 0\ &quot;Punkte&quot;"/>
    <numFmt numFmtId="170" formatCode="&quot;+ &quot;#,##0.00"/>
  </numFmts>
  <fonts count="75" x14ac:knownFonts="1">
    <font>
      <sz val="11"/>
      <color theme="1"/>
      <name val="Calibri"/>
      <family val="2"/>
      <scheme val="minor"/>
    </font>
    <font>
      <sz val="11"/>
      <color theme="1"/>
      <name val="Calibri"/>
      <family val="2"/>
      <scheme val="minor"/>
    </font>
    <font>
      <b/>
      <sz val="18"/>
      <color theme="0"/>
      <name val="Calibri"/>
      <family val="2"/>
      <scheme val="minor"/>
    </font>
    <font>
      <sz val="18"/>
      <color theme="0"/>
      <name val="Calibri Light"/>
      <family val="2"/>
      <scheme val="major"/>
    </font>
    <font>
      <b/>
      <sz val="18"/>
      <color theme="0"/>
      <name val="Calibri Light"/>
      <family val="2"/>
      <scheme val="major"/>
    </font>
    <font>
      <sz val="12"/>
      <name val="Arial"/>
      <family val="2"/>
    </font>
    <font>
      <sz val="10"/>
      <color indexed="9"/>
      <name val="Arial Black"/>
      <family val="2"/>
    </font>
    <font>
      <sz val="8"/>
      <name val="Calibri Light"/>
      <family val="2"/>
      <scheme val="major"/>
    </font>
    <font>
      <b/>
      <sz val="10"/>
      <color rgb="FFFFFF00"/>
      <name val="Calibri Light"/>
      <family val="2"/>
      <scheme val="major"/>
    </font>
    <font>
      <sz val="8"/>
      <name val="Arial"/>
      <family val="2"/>
    </font>
    <font>
      <sz val="10"/>
      <name val="Arial Black"/>
      <family val="2"/>
    </font>
    <font>
      <sz val="10"/>
      <color rgb="FFFF0000"/>
      <name val="Arial Black"/>
      <family val="2"/>
    </font>
    <font>
      <b/>
      <sz val="8"/>
      <name val="Arial"/>
      <family val="2"/>
    </font>
    <font>
      <sz val="8"/>
      <color indexed="10"/>
      <name val="Arial"/>
      <family val="2"/>
    </font>
    <font>
      <b/>
      <u/>
      <sz val="8"/>
      <name val="Calibri Light"/>
      <family val="2"/>
      <scheme val="major"/>
    </font>
    <font>
      <b/>
      <sz val="12"/>
      <name val="Calibri"/>
      <family val="2"/>
      <scheme val="minor"/>
    </font>
    <font>
      <b/>
      <i/>
      <sz val="8"/>
      <name val="Calibri Light"/>
      <family val="2"/>
      <scheme val="major"/>
    </font>
    <font>
      <sz val="8"/>
      <color rgb="FFFF0000"/>
      <name val="Calibri Light"/>
      <family val="2"/>
      <scheme val="major"/>
    </font>
    <font>
      <b/>
      <sz val="8"/>
      <name val="Calibri Light"/>
      <family val="2"/>
      <scheme val="major"/>
    </font>
    <font>
      <b/>
      <sz val="8"/>
      <color indexed="12"/>
      <name val="Arial"/>
      <family val="2"/>
    </font>
    <font>
      <b/>
      <sz val="8"/>
      <color rgb="FF0070C0"/>
      <name val="Arial"/>
      <family val="2"/>
    </font>
    <font>
      <b/>
      <sz val="8"/>
      <color rgb="FF008000"/>
      <name val="Arial"/>
      <family val="2"/>
    </font>
    <font>
      <b/>
      <sz val="8"/>
      <color rgb="FFFF0000"/>
      <name val="Calibri Light"/>
      <family val="2"/>
      <scheme val="major"/>
    </font>
    <font>
      <b/>
      <sz val="10"/>
      <color rgb="FFFF0000"/>
      <name val="Arial"/>
      <family val="2"/>
    </font>
    <font>
      <b/>
      <sz val="10"/>
      <name val="Calibri"/>
      <family val="2"/>
      <scheme val="minor"/>
    </font>
    <font>
      <sz val="10"/>
      <name val="Calibri Light"/>
      <family val="2"/>
      <scheme val="major"/>
    </font>
    <font>
      <b/>
      <sz val="10"/>
      <color theme="0"/>
      <name val="Calibri"/>
      <family val="2"/>
      <scheme val="minor"/>
    </font>
    <font>
      <b/>
      <sz val="14"/>
      <name val="Calibri"/>
      <family val="2"/>
      <scheme val="minor"/>
    </font>
    <font>
      <i/>
      <sz val="7"/>
      <color rgb="FF0070C0"/>
      <name val="Calibri Light"/>
      <family val="2"/>
      <scheme val="major"/>
    </font>
    <font>
      <sz val="7"/>
      <color rgb="FF0070C0"/>
      <name val="Calibri Light"/>
      <family val="2"/>
      <scheme val="major"/>
    </font>
    <font>
      <sz val="8"/>
      <color indexed="12"/>
      <name val="Calibri Light"/>
      <family val="2"/>
      <scheme val="major"/>
    </font>
    <font>
      <b/>
      <i/>
      <sz val="8"/>
      <color rgb="FF0070C0"/>
      <name val="Calibri"/>
      <family val="2"/>
      <scheme val="minor"/>
    </font>
    <font>
      <i/>
      <sz val="8"/>
      <color rgb="FF0070C0"/>
      <name val="Calibri Light"/>
      <family val="2"/>
      <scheme val="major"/>
    </font>
    <font>
      <sz val="10"/>
      <name val="Arial"/>
      <family val="2"/>
    </font>
    <font>
      <sz val="8"/>
      <color rgb="FF0070C0"/>
      <name val="Calibri Light"/>
      <family val="2"/>
      <scheme val="major"/>
    </font>
    <font>
      <b/>
      <i/>
      <sz val="8"/>
      <color rgb="FF0070C0"/>
      <name val="Calibri Light"/>
      <family val="2"/>
      <scheme val="major"/>
    </font>
    <font>
      <b/>
      <i/>
      <sz val="8"/>
      <color theme="0"/>
      <name val="Calibri"/>
      <family val="2"/>
      <scheme val="minor"/>
    </font>
    <font>
      <sz val="8"/>
      <color theme="0"/>
      <name val="Calibri Light"/>
      <family val="2"/>
      <scheme val="major"/>
    </font>
    <font>
      <b/>
      <sz val="8"/>
      <color theme="0"/>
      <name val="Calibri Light"/>
      <family val="2"/>
      <scheme val="major"/>
    </font>
    <font>
      <sz val="14"/>
      <name val="Calibri Light"/>
      <family val="2"/>
      <scheme val="major"/>
    </font>
    <font>
      <b/>
      <sz val="18"/>
      <name val="Calibri"/>
      <family val="2"/>
      <scheme val="minor"/>
    </font>
    <font>
      <i/>
      <sz val="14"/>
      <color rgb="FF0070C0"/>
      <name val="Calibri Light"/>
      <family val="2"/>
      <scheme val="major"/>
    </font>
    <font>
      <b/>
      <i/>
      <sz val="14"/>
      <color rgb="FF0070C0"/>
      <name val="Calibri Light"/>
      <family val="2"/>
      <scheme val="major"/>
    </font>
    <font>
      <sz val="10"/>
      <name val="Arial"/>
      <family val="2"/>
    </font>
    <font>
      <sz val="14"/>
      <color indexed="9"/>
      <name val="Arial Black"/>
      <family val="2"/>
    </font>
    <font>
      <sz val="9"/>
      <color indexed="9"/>
      <name val="Arial Black"/>
      <family val="2"/>
    </font>
    <font>
      <b/>
      <sz val="10"/>
      <color theme="0"/>
      <name val="Arial"/>
      <family val="2"/>
    </font>
    <font>
      <sz val="9"/>
      <name val="Arial"/>
      <family val="2"/>
    </font>
    <font>
      <sz val="10"/>
      <color indexed="12"/>
      <name val="Arial"/>
      <family val="2"/>
    </font>
    <font>
      <b/>
      <sz val="10"/>
      <color indexed="43"/>
      <name val="Arial"/>
      <family val="2"/>
    </font>
    <font>
      <sz val="10"/>
      <color indexed="9"/>
      <name val="Arial"/>
      <family val="2"/>
    </font>
    <font>
      <sz val="12"/>
      <color indexed="10"/>
      <name val="Arial Black"/>
      <family val="2"/>
    </font>
    <font>
      <b/>
      <sz val="8"/>
      <color indexed="10"/>
      <name val="Arial"/>
      <family val="2"/>
    </font>
    <font>
      <b/>
      <sz val="10"/>
      <name val="Arial"/>
      <family val="2"/>
    </font>
    <font>
      <b/>
      <sz val="9"/>
      <name val="Arial"/>
      <family val="2"/>
    </font>
    <font>
      <b/>
      <sz val="10"/>
      <color indexed="17"/>
      <name val="Arial"/>
      <family val="2"/>
    </font>
    <font>
      <u/>
      <sz val="8"/>
      <name val="Arial"/>
      <family val="2"/>
    </font>
    <font>
      <sz val="6"/>
      <name val="Arial"/>
      <family val="2"/>
    </font>
    <font>
      <sz val="10"/>
      <color rgb="FFD5EBAD"/>
      <name val="Arial Black"/>
      <family val="2"/>
    </font>
    <font>
      <sz val="10"/>
      <color indexed="50"/>
      <name val="Arial Black"/>
      <family val="2"/>
    </font>
    <font>
      <sz val="9"/>
      <color rgb="FFD5EBAD"/>
      <name val="Arial Black"/>
      <family val="2"/>
    </font>
    <font>
      <sz val="14"/>
      <name val="Arial Black"/>
      <family val="2"/>
    </font>
    <font>
      <b/>
      <sz val="18"/>
      <name val="Wingdings 2"/>
      <family val="1"/>
      <charset val="2"/>
    </font>
    <font>
      <b/>
      <sz val="8"/>
      <color theme="0"/>
      <name val="Arial"/>
      <family val="2"/>
    </font>
    <font>
      <sz val="8"/>
      <color theme="0"/>
      <name val="Arial"/>
      <family val="2"/>
    </font>
    <font>
      <sz val="10"/>
      <color theme="0"/>
      <name val="Arial"/>
      <family val="2"/>
    </font>
    <font>
      <sz val="8"/>
      <name val="Times New Roman"/>
      <family val="1"/>
    </font>
    <font>
      <sz val="10"/>
      <name val="Times New Roman"/>
      <family val="1"/>
    </font>
    <font>
      <sz val="9"/>
      <name val="Times New Roman"/>
      <family val="1"/>
    </font>
    <font>
      <b/>
      <sz val="12"/>
      <name val="Arial Black"/>
      <family val="2"/>
    </font>
    <font>
      <b/>
      <sz val="14"/>
      <name val="Arial Black"/>
      <family val="2"/>
    </font>
    <font>
      <sz val="11"/>
      <color theme="0"/>
      <name val="Calibri"/>
      <family val="2"/>
      <scheme val="minor"/>
    </font>
    <font>
      <b/>
      <sz val="18"/>
      <color rgb="FFFF0000"/>
      <name val="Arial"/>
      <family val="2"/>
    </font>
    <font>
      <sz val="10"/>
      <color theme="0"/>
      <name val="Calibri"/>
      <family val="2"/>
      <scheme val="minor"/>
    </font>
    <font>
      <sz val="10"/>
      <color rgb="FFFFFF00"/>
      <name val="Calibri"/>
      <family val="2"/>
      <scheme val="minor"/>
    </font>
  </fonts>
  <fills count="34">
    <fill>
      <patternFill patternType="none"/>
    </fill>
    <fill>
      <patternFill patternType="gray125"/>
    </fill>
    <fill>
      <patternFill patternType="solid">
        <fgColor rgb="FF008000"/>
        <bgColor indexed="64"/>
      </patternFill>
    </fill>
    <fill>
      <patternFill patternType="solid">
        <fgColor indexed="23"/>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rgb="FFE8FBAD"/>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19395"/>
        <bgColor indexed="64"/>
      </patternFill>
    </fill>
    <fill>
      <patternFill patternType="solid">
        <fgColor theme="9" tint="0.39997558519241921"/>
        <bgColor indexed="64"/>
      </patternFill>
    </fill>
    <fill>
      <patternFill patternType="solid">
        <fgColor rgb="FFD47678"/>
        <bgColor indexed="64"/>
      </patternFill>
    </fill>
    <fill>
      <patternFill patternType="solid">
        <fgColor theme="5" tint="0.39997558519241921"/>
        <bgColor indexed="64"/>
      </patternFill>
    </fill>
    <fill>
      <patternFill patternType="solid">
        <fgColor rgb="FFCE6467"/>
        <bgColor indexed="64"/>
      </patternFill>
    </fill>
    <fill>
      <patternFill patternType="solid">
        <fgColor rgb="FF828AC8"/>
        <bgColor indexed="64"/>
      </patternFill>
    </fill>
    <fill>
      <patternFill patternType="solid">
        <fgColor rgb="FF0070C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4B084"/>
        <bgColor indexed="64"/>
      </patternFill>
    </fill>
    <fill>
      <patternFill patternType="solid">
        <fgColor rgb="FFF0D0D1"/>
        <bgColor indexed="64"/>
      </patternFill>
    </fill>
    <fill>
      <patternFill patternType="solid">
        <fgColor theme="7" tint="0.59999389629810485"/>
        <bgColor indexed="64"/>
      </patternFill>
    </fill>
    <fill>
      <patternFill patternType="solid">
        <fgColor indexed="12"/>
        <bgColor indexed="64"/>
      </patternFill>
    </fill>
    <fill>
      <patternFill patternType="solid">
        <fgColor rgb="FF0000FF"/>
        <bgColor indexed="64"/>
      </patternFill>
    </fill>
    <fill>
      <patternFill patternType="solid">
        <fgColor indexed="17"/>
        <bgColor indexed="64"/>
      </patternFill>
    </fill>
    <fill>
      <patternFill patternType="solid">
        <fgColor rgb="FFCCDAE0"/>
        <bgColor indexed="64"/>
      </patternFill>
    </fill>
    <fill>
      <patternFill patternType="solid">
        <fgColor rgb="FFEBF1F3"/>
        <bgColor indexed="64"/>
      </patternFill>
    </fill>
    <fill>
      <patternFill patternType="solid">
        <fgColor theme="0" tint="-4.9989318521683403E-2"/>
        <bgColor indexed="64"/>
      </patternFill>
    </fill>
    <fill>
      <patternFill patternType="solid">
        <fgColor rgb="FFD5EBAD"/>
        <bgColor indexed="64"/>
      </patternFill>
    </fill>
    <fill>
      <patternFill patternType="solid">
        <fgColor indexed="55"/>
        <bgColor indexed="64"/>
      </patternFill>
    </fill>
    <fill>
      <patternFill patternType="solid">
        <fgColor theme="8" tint="-0.249977111117893"/>
        <bgColor indexed="64"/>
      </patternFill>
    </fill>
    <fill>
      <patternFill patternType="solid">
        <fgColor rgb="FFFCD5B4"/>
        <bgColor indexed="64"/>
      </patternFill>
    </fill>
  </fills>
  <borders count="33">
    <border>
      <left/>
      <right/>
      <top/>
      <bottom/>
      <diagonal/>
    </border>
    <border>
      <left style="thin">
        <color indexed="23"/>
      </left>
      <right style="thin">
        <color theme="0" tint="-4.9989318521683403E-2"/>
      </right>
      <top style="thin">
        <color indexed="23"/>
      </top>
      <bottom style="thin">
        <color theme="0" tint="-4.9989318521683403E-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bottom style="thick">
        <color rgb="FFFF0000"/>
      </bottom>
      <diagonal/>
    </border>
    <border>
      <left/>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double">
        <color indexed="64"/>
      </bottom>
      <diagonal/>
    </border>
    <border>
      <left/>
      <right/>
      <top/>
      <bottom style="medium">
        <color indexed="64"/>
      </bottom>
      <diagonal/>
    </border>
    <border>
      <left/>
      <right/>
      <top style="hair">
        <color auto="1"/>
      </top>
      <bottom style="double">
        <color auto="1"/>
      </bottom>
      <diagonal/>
    </border>
    <border>
      <left/>
      <right/>
      <top/>
      <bottom style="double">
        <color auto="1"/>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s>
  <cellStyleXfs count="6">
    <xf numFmtId="0" fontId="0" fillId="0" borderId="0"/>
    <xf numFmtId="43" fontId="1" fillId="0" borderId="0" applyFont="0" applyFill="0" applyBorder="0" applyAlignment="0" applyProtection="0"/>
    <xf numFmtId="0" fontId="5" fillId="0" borderId="0"/>
    <xf numFmtId="0" fontId="19" fillId="0" borderId="0" applyFont="0" applyAlignment="0">
      <alignment vertical="center"/>
      <protection hidden="1"/>
    </xf>
    <xf numFmtId="0" fontId="43" fillId="0" borderId="0"/>
    <xf numFmtId="0" fontId="43" fillId="0" borderId="0"/>
  </cellStyleXfs>
  <cellXfs count="622">
    <xf numFmtId="0" fontId="0" fillId="0" borderId="0" xfId="0"/>
    <xf numFmtId="0" fontId="2" fillId="2" borderId="0" xfId="0" applyFont="1" applyFill="1" applyAlignment="1" applyProtection="1">
      <alignment vertical="center"/>
      <protection hidden="1"/>
    </xf>
    <xf numFmtId="0" fontId="3" fillId="2" borderId="0" xfId="0" applyFont="1" applyFill="1" applyAlignment="1" applyProtection="1">
      <alignment horizontal="right" vertical="center"/>
      <protection hidden="1"/>
    </xf>
    <xf numFmtId="0" fontId="4" fillId="2" borderId="0" xfId="0" applyFont="1" applyFill="1" applyAlignment="1" applyProtection="1">
      <alignment vertical="center"/>
      <protection hidden="1"/>
    </xf>
    <xf numFmtId="0" fontId="6" fillId="3" borderId="0" xfId="2" applyFont="1" applyFill="1" applyAlignment="1" applyProtection="1">
      <alignment horizontal="center" vertical="center"/>
      <protection hidden="1"/>
    </xf>
    <xf numFmtId="0" fontId="7" fillId="4" borderId="0" xfId="0" applyFont="1" applyFill="1" applyAlignment="1" applyProtection="1">
      <alignment vertical="center"/>
      <protection hidden="1"/>
    </xf>
    <xf numFmtId="0" fontId="7" fillId="0" borderId="0" xfId="0" applyFont="1" applyAlignment="1" applyProtection="1">
      <alignment vertical="center"/>
      <protection hidden="1"/>
    </xf>
    <xf numFmtId="0" fontId="8" fillId="2" borderId="0" xfId="0" applyFont="1" applyFill="1" applyAlignment="1" applyProtection="1">
      <alignment vertical="center"/>
      <protection hidden="1"/>
    </xf>
    <xf numFmtId="0" fontId="7" fillId="0" borderId="0" xfId="0" applyFont="1" applyAlignment="1" applyProtection="1">
      <alignment horizontal="right" vertical="center"/>
      <protection hidden="1"/>
    </xf>
    <xf numFmtId="164" fontId="7" fillId="0" borderId="0" xfId="0" applyNumberFormat="1" applyFont="1" applyAlignment="1" applyProtection="1">
      <alignment horizontal="right" vertical="center"/>
      <protection hidden="1"/>
    </xf>
    <xf numFmtId="0" fontId="7" fillId="2" borderId="0" xfId="0" applyFont="1" applyFill="1" applyAlignment="1" applyProtection="1">
      <alignment vertical="center"/>
      <protection hidden="1"/>
    </xf>
    <xf numFmtId="0" fontId="9" fillId="3" borderId="0" xfId="2" applyFont="1" applyFill="1" applyAlignment="1" applyProtection="1">
      <alignment horizontal="center" vertical="center"/>
      <protection hidden="1"/>
    </xf>
    <xf numFmtId="0" fontId="10" fillId="5" borderId="0" xfId="0" applyFont="1" applyFill="1" applyAlignment="1" applyProtection="1">
      <alignment vertical="center"/>
      <protection hidden="1"/>
    </xf>
    <xf numFmtId="3" fontId="11" fillId="6" borderId="1" xfId="0" applyNumberFormat="1" applyFont="1" applyFill="1" applyBorder="1" applyAlignment="1" applyProtection="1">
      <alignment horizontal="center" vertical="center"/>
      <protection locked="0"/>
    </xf>
    <xf numFmtId="0" fontId="12" fillId="3" borderId="0" xfId="2" applyFont="1" applyFill="1" applyAlignment="1" applyProtection="1">
      <alignment horizontal="center" vertical="center"/>
      <protection hidden="1"/>
    </xf>
    <xf numFmtId="165" fontId="13" fillId="7" borderId="2" xfId="2" applyNumberFormat="1" applyFont="1" applyFill="1" applyBorder="1" applyAlignment="1" applyProtection="1">
      <alignment horizontal="center" vertical="center"/>
      <protection hidden="1"/>
    </xf>
    <xf numFmtId="0" fontId="7" fillId="4" borderId="0" xfId="0" applyFont="1" applyFill="1" applyAlignment="1" applyProtection="1">
      <alignment horizontal="right" vertical="center"/>
      <protection hidden="1"/>
    </xf>
    <xf numFmtId="164" fontId="7" fillId="4" borderId="0" xfId="0" applyNumberFormat="1" applyFont="1" applyFill="1" applyAlignment="1" applyProtection="1">
      <alignment horizontal="right" vertical="center"/>
      <protection hidden="1"/>
    </xf>
    <xf numFmtId="0" fontId="14" fillId="4" borderId="0" xfId="0" applyFont="1" applyFill="1" applyAlignment="1" applyProtection="1">
      <alignment horizontal="left" vertical="center"/>
      <protection hidden="1"/>
    </xf>
    <xf numFmtId="0" fontId="15" fillId="4" borderId="0" xfId="0" applyFont="1" applyFill="1" applyAlignment="1" applyProtection="1">
      <alignment horizontal="left" vertical="center"/>
      <protection hidden="1"/>
    </xf>
    <xf numFmtId="164" fontId="14" fillId="4" borderId="0" xfId="0" applyNumberFormat="1" applyFont="1" applyFill="1" applyAlignment="1" applyProtection="1">
      <alignment horizontal="right" vertical="center"/>
      <protection hidden="1"/>
    </xf>
    <xf numFmtId="0" fontId="14" fillId="2" borderId="0" xfId="0"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0" fontId="16" fillId="8" borderId="3" xfId="0" applyFont="1" applyFill="1" applyBorder="1" applyAlignment="1" applyProtection="1">
      <alignment horizontal="left" vertical="center"/>
      <protection hidden="1"/>
    </xf>
    <xf numFmtId="164" fontId="16" fillId="8" borderId="3" xfId="0" applyNumberFormat="1" applyFont="1" applyFill="1" applyBorder="1" applyAlignment="1" applyProtection="1">
      <alignment horizontal="right" vertical="center" indent="1"/>
      <protection hidden="1"/>
    </xf>
    <xf numFmtId="0" fontId="0" fillId="4" borderId="0" xfId="0" applyFill="1" applyProtection="1">
      <protection hidden="1"/>
    </xf>
    <xf numFmtId="0" fontId="0" fillId="2" borderId="0" xfId="0" applyFill="1" applyProtection="1">
      <protection hidden="1"/>
    </xf>
    <xf numFmtId="0" fontId="7" fillId="0" borderId="2"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0" fontId="7" fillId="0" borderId="5" xfId="0" applyFont="1" applyBorder="1" applyAlignment="1" applyProtection="1">
      <alignment horizontal="left" vertical="center"/>
      <protection hidden="1"/>
    </xf>
    <xf numFmtId="164" fontId="7" fillId="0" borderId="11" xfId="0" applyNumberFormat="1" applyFont="1" applyBorder="1" applyAlignment="1" applyProtection="1">
      <alignment horizontal="center" vertical="center"/>
      <protection hidden="1"/>
    </xf>
    <xf numFmtId="164" fontId="7" fillId="0" borderId="13" xfId="0" applyNumberFormat="1" applyFont="1" applyBorder="1" applyAlignment="1" applyProtection="1">
      <alignment horizontal="center" vertical="center"/>
      <protection hidden="1"/>
    </xf>
    <xf numFmtId="164" fontId="7" fillId="0" borderId="14" xfId="0" applyNumberFormat="1" applyFont="1" applyBorder="1" applyAlignment="1" applyProtection="1">
      <alignment horizontal="center" vertical="center"/>
      <protection hidden="1"/>
    </xf>
    <xf numFmtId="164" fontId="7" fillId="0" borderId="14" xfId="0" applyNumberFormat="1" applyFont="1" applyBorder="1" applyAlignment="1" applyProtection="1">
      <alignment horizontal="left" vertical="center"/>
      <protection hidden="1"/>
    </xf>
    <xf numFmtId="164" fontId="7" fillId="0" borderId="15" xfId="0" applyNumberFormat="1" applyFont="1" applyBorder="1" applyAlignment="1" applyProtection="1">
      <alignment horizontal="center" vertical="center"/>
      <protection hidden="1"/>
    </xf>
    <xf numFmtId="164" fontId="7" fillId="0" borderId="16" xfId="0" applyNumberFormat="1" applyFont="1" applyBorder="1" applyAlignment="1" applyProtection="1">
      <alignment horizontal="center" vertical="center"/>
      <protection hidden="1"/>
    </xf>
    <xf numFmtId="0" fontId="18" fillId="0" borderId="15"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7" fillId="0" borderId="17" xfId="0" applyFont="1" applyBorder="1" applyAlignment="1" applyProtection="1">
      <alignment vertical="center"/>
      <protection hidden="1"/>
    </xf>
    <xf numFmtId="164" fontId="7" fillId="0" borderId="17" xfId="0" applyNumberFormat="1" applyFont="1" applyBorder="1" applyAlignment="1" applyProtection="1">
      <alignment horizontal="right" vertical="center"/>
      <protection hidden="1"/>
    </xf>
    <xf numFmtId="16" fontId="7" fillId="0" borderId="2" xfId="0" applyNumberFormat="1" applyFont="1" applyBorder="1" applyAlignment="1" applyProtection="1">
      <alignment horizontal="left" vertical="center"/>
      <protection hidden="1"/>
    </xf>
    <xf numFmtId="0" fontId="18" fillId="0" borderId="8" xfId="0" applyFont="1" applyBorder="1" applyAlignment="1" applyProtection="1">
      <alignment horizontal="left" vertical="center"/>
      <protection hidden="1"/>
    </xf>
    <xf numFmtId="0" fontId="7" fillId="0" borderId="18" xfId="0" applyFont="1" applyBorder="1" applyAlignment="1" applyProtection="1">
      <alignment horizontal="left" vertical="center"/>
      <protection hidden="1"/>
    </xf>
    <xf numFmtId="0" fontId="7" fillId="0" borderId="18" xfId="0" applyFont="1" applyBorder="1" applyAlignment="1" applyProtection="1">
      <alignment vertical="center"/>
      <protection hidden="1"/>
    </xf>
    <xf numFmtId="164" fontId="7" fillId="0" borderId="18" xfId="0" applyNumberFormat="1" applyFont="1" applyBorder="1" applyAlignment="1" applyProtection="1">
      <alignment horizontal="right" vertical="center"/>
      <protection hidden="1"/>
    </xf>
    <xf numFmtId="0" fontId="22" fillId="0" borderId="19" xfId="0" applyFont="1" applyBorder="1" applyAlignment="1" applyProtection="1">
      <alignment vertical="center"/>
      <protection hidden="1"/>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Protection="1">
      <protection hidden="1"/>
    </xf>
    <xf numFmtId="0" fontId="0" fillId="0" borderId="0" xfId="0" applyAlignment="1">
      <alignment vertical="center" wrapText="1"/>
    </xf>
    <xf numFmtId="0" fontId="2" fillId="10" borderId="0" xfId="0" applyFont="1" applyFill="1" applyAlignment="1" applyProtection="1">
      <alignment vertical="center"/>
      <protection hidden="1"/>
    </xf>
    <xf numFmtId="0" fontId="23" fillId="0" borderId="0" xfId="0" applyFont="1" applyAlignment="1">
      <alignment horizontal="left" wrapText="1"/>
    </xf>
    <xf numFmtId="0" fontId="23" fillId="0" borderId="0" xfId="0" applyFont="1" applyAlignment="1">
      <alignment horizontal="center" wrapText="1"/>
    </xf>
    <xf numFmtId="0" fontId="0" fillId="0" borderId="0" xfId="0" applyAlignment="1">
      <alignment horizontal="left" vertical="center" wrapText="1"/>
    </xf>
    <xf numFmtId="0" fontId="24" fillId="11" borderId="20" xfId="0" applyFont="1" applyFill="1" applyBorder="1" applyAlignment="1">
      <alignment horizontal="left" vertical="center" wrapText="1"/>
    </xf>
    <xf numFmtId="0" fontId="24" fillId="11" borderId="20" xfId="0" applyFont="1" applyFill="1" applyBorder="1" applyAlignment="1">
      <alignment vertical="center" wrapText="1"/>
    </xf>
    <xf numFmtId="0" fontId="25" fillId="0" borderId="0" xfId="0" applyFont="1" applyAlignment="1">
      <alignment horizontal="left"/>
    </xf>
    <xf numFmtId="0" fontId="24" fillId="8" borderId="20" xfId="0" applyFont="1" applyFill="1" applyBorder="1" applyAlignment="1">
      <alignment horizontal="left" vertical="center" wrapText="1"/>
    </xf>
    <xf numFmtId="0" fontId="24" fillId="8" borderId="20" xfId="0" applyFont="1" applyFill="1" applyBorder="1" applyAlignment="1">
      <alignment vertical="center" wrapText="1"/>
    </xf>
    <xf numFmtId="0" fontId="24" fillId="12" borderId="20" xfId="0" applyFont="1" applyFill="1" applyBorder="1" applyAlignment="1">
      <alignment horizontal="left" vertical="center" wrapText="1"/>
    </xf>
    <xf numFmtId="0" fontId="24" fillId="12" borderId="20" xfId="0" applyFont="1" applyFill="1" applyBorder="1" applyAlignment="1">
      <alignment vertical="center" wrapText="1"/>
    </xf>
    <xf numFmtId="0" fontId="24" fillId="13" borderId="20" xfId="0" applyFont="1" applyFill="1" applyBorder="1" applyAlignment="1">
      <alignment horizontal="left" vertical="center" wrapText="1"/>
    </xf>
    <xf numFmtId="0" fontId="24" fillId="13" borderId="20" xfId="0" applyFont="1" applyFill="1" applyBorder="1" applyAlignment="1">
      <alignment vertical="center" wrapText="1"/>
    </xf>
    <xf numFmtId="0" fontId="24" fillId="14" borderId="20" xfId="0" applyFont="1" applyFill="1" applyBorder="1" applyAlignment="1">
      <alignment horizontal="left" vertical="center" wrapText="1"/>
    </xf>
    <xf numFmtId="0" fontId="24" fillId="14" borderId="20" xfId="0" applyFont="1" applyFill="1" applyBorder="1" applyAlignment="1">
      <alignment vertical="center" wrapText="1"/>
    </xf>
    <xf numFmtId="0" fontId="24" fillId="15" borderId="20" xfId="0" applyFont="1" applyFill="1" applyBorder="1" applyAlignment="1">
      <alignment horizontal="left" vertical="center" wrapText="1"/>
    </xf>
    <xf numFmtId="0" fontId="24" fillId="15" borderId="20" xfId="0" applyFont="1" applyFill="1" applyBorder="1" applyAlignment="1">
      <alignment vertical="center" wrapText="1"/>
    </xf>
    <xf numFmtId="0" fontId="24" fillId="16" borderId="20" xfId="0" applyFont="1" applyFill="1" applyBorder="1" applyAlignment="1">
      <alignment horizontal="left" vertical="center" wrapText="1"/>
    </xf>
    <xf numFmtId="0" fontId="24" fillId="16" borderId="20" xfId="0" applyFont="1" applyFill="1" applyBorder="1" applyAlignment="1">
      <alignment vertical="center" wrapText="1"/>
    </xf>
    <xf numFmtId="0" fontId="24" fillId="17" borderId="20" xfId="0" applyFont="1" applyFill="1" applyBorder="1" applyAlignment="1">
      <alignment horizontal="left" vertical="center" wrapText="1"/>
    </xf>
    <xf numFmtId="0" fontId="24" fillId="17" borderId="20" xfId="0" applyFont="1" applyFill="1" applyBorder="1" applyAlignment="1">
      <alignment vertical="center" wrapText="1"/>
    </xf>
    <xf numFmtId="0" fontId="26" fillId="18" borderId="20" xfId="0" applyFont="1" applyFill="1" applyBorder="1" applyAlignment="1">
      <alignment horizontal="left" vertical="center" wrapText="1"/>
    </xf>
    <xf numFmtId="0" fontId="26" fillId="18" borderId="20" xfId="0" applyFont="1" applyFill="1" applyBorder="1" applyAlignment="1">
      <alignment vertical="center" wrapText="1"/>
    </xf>
    <xf numFmtId="0" fontId="2" fillId="19" borderId="0" xfId="0" applyFont="1" applyFill="1" applyAlignment="1" applyProtection="1">
      <alignment vertical="center"/>
      <protection hidden="1"/>
    </xf>
    <xf numFmtId="0" fontId="4" fillId="19" borderId="0" xfId="0" applyFont="1" applyFill="1" applyAlignment="1" applyProtection="1">
      <alignment vertical="center"/>
      <protection hidden="1"/>
    </xf>
    <xf numFmtId="0" fontId="27" fillId="4" borderId="0" xfId="0" applyFont="1" applyFill="1" applyAlignment="1" applyProtection="1">
      <alignment vertical="center"/>
      <protection hidden="1"/>
    </xf>
    <xf numFmtId="0" fontId="24" fillId="0" borderId="0" xfId="0" applyFont="1" applyAlignment="1" applyProtection="1">
      <alignment horizontal="left" vertical="center"/>
      <protection hidden="1"/>
    </xf>
    <xf numFmtId="164" fontId="14" fillId="0" borderId="0" xfId="0" applyNumberFormat="1" applyFont="1" applyAlignment="1" applyProtection="1">
      <alignment horizontal="right" vertical="center"/>
      <protection hidden="1"/>
    </xf>
    <xf numFmtId="0" fontId="16" fillId="20" borderId="3" xfId="0" applyFont="1" applyFill="1" applyBorder="1" applyAlignment="1" applyProtection="1">
      <alignment horizontal="left" vertical="center"/>
      <protection hidden="1"/>
    </xf>
    <xf numFmtId="164" fontId="16" fillId="20" borderId="3" xfId="0" applyNumberFormat="1" applyFont="1" applyFill="1" applyBorder="1" applyAlignment="1" applyProtection="1">
      <alignment horizontal="right" vertical="center" indent="1"/>
      <protection hidden="1"/>
    </xf>
    <xf numFmtId="0" fontId="7" fillId="0" borderId="2" xfId="0" applyFont="1" applyBorder="1" applyAlignment="1" applyProtection="1">
      <alignment vertical="center"/>
      <protection hidden="1"/>
    </xf>
    <xf numFmtId="164" fontId="7" fillId="0" borderId="2" xfId="0" applyNumberFormat="1" applyFont="1" applyBorder="1" applyAlignment="1" applyProtection="1">
      <alignment horizontal="right" vertical="center"/>
      <protection hidden="1"/>
    </xf>
    <xf numFmtId="0" fontId="28" fillId="0" borderId="9" xfId="0" applyFont="1" applyBorder="1" applyAlignment="1" applyProtection="1">
      <alignment vertical="center" wrapText="1"/>
      <protection hidden="1"/>
    </xf>
    <xf numFmtId="0" fontId="28" fillId="0" borderId="16" xfId="0" applyFont="1" applyBorder="1" applyAlignment="1" applyProtection="1">
      <alignment vertical="center" wrapText="1"/>
      <protection hidden="1"/>
    </xf>
    <xf numFmtId="0" fontId="7" fillId="0" borderId="5" xfId="0" applyFont="1" applyBorder="1" applyAlignment="1" applyProtection="1">
      <alignment vertical="center" wrapText="1"/>
      <protection hidden="1"/>
    </xf>
    <xf numFmtId="0" fontId="28" fillId="0" borderId="11" xfId="0" applyFont="1" applyBorder="1" applyAlignment="1" applyProtection="1">
      <alignment vertical="center" wrapText="1"/>
      <protection hidden="1"/>
    </xf>
    <xf numFmtId="0" fontId="7" fillId="0" borderId="4" xfId="0" applyFont="1" applyBorder="1" applyAlignment="1">
      <alignment horizontal="left" vertical="center"/>
    </xf>
    <xf numFmtId="0" fontId="7" fillId="0" borderId="5" xfId="0" applyFont="1" applyBorder="1" applyAlignment="1">
      <alignment vertical="center" wrapText="1"/>
    </xf>
    <xf numFmtId="164" fontId="7" fillId="0" borderId="2" xfId="0" applyNumberFormat="1" applyFont="1" applyBorder="1" applyAlignment="1">
      <alignment horizontal="right" vertical="center"/>
    </xf>
    <xf numFmtId="0" fontId="7" fillId="0" borderId="2" xfId="0" applyFont="1" applyBorder="1" applyAlignment="1" applyProtection="1">
      <alignment vertical="center" wrapText="1"/>
      <protection hidden="1"/>
    </xf>
    <xf numFmtId="164" fontId="17" fillId="0" borderId="2" xfId="0" applyNumberFormat="1" applyFont="1" applyBorder="1" applyAlignment="1" applyProtection="1">
      <alignment horizontal="right" vertical="center"/>
      <protection hidden="1"/>
    </xf>
    <xf numFmtId="0" fontId="7" fillId="0" borderId="5" xfId="0" applyFont="1" applyBorder="1" applyAlignment="1" applyProtection="1">
      <alignment vertical="center"/>
      <protection hidden="1"/>
    </xf>
    <xf numFmtId="164" fontId="7" fillId="0" borderId="5" xfId="0" applyNumberFormat="1" applyFont="1" applyBorder="1" applyAlignment="1" applyProtection="1">
      <alignment horizontal="right" vertical="center"/>
      <protection hidden="1"/>
    </xf>
    <xf numFmtId="0" fontId="7" fillId="0" borderId="1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0" fillId="0" borderId="0" xfId="0" applyProtection="1">
      <protection hidden="1"/>
    </xf>
    <xf numFmtId="0" fontId="28" fillId="0" borderId="11" xfId="0" applyFont="1" applyBorder="1" applyAlignment="1" applyProtection="1">
      <alignment vertical="center"/>
      <protection hidden="1"/>
    </xf>
    <xf numFmtId="0" fontId="7" fillId="0" borderId="12" xfId="0" applyFont="1" applyBorder="1" applyAlignment="1" applyProtection="1">
      <alignment horizontal="left" vertical="center"/>
      <protection hidden="1"/>
    </xf>
    <xf numFmtId="0" fontId="7" fillId="0" borderId="12" xfId="0" applyFont="1" applyBorder="1" applyAlignment="1" applyProtection="1">
      <alignment vertical="center"/>
      <protection hidden="1"/>
    </xf>
    <xf numFmtId="164" fontId="7" fillId="0" borderId="12" xfId="0" applyNumberFormat="1" applyFont="1" applyBorder="1" applyAlignment="1" applyProtection="1">
      <alignment horizontal="right" vertical="center"/>
      <protection hidden="1"/>
    </xf>
    <xf numFmtId="0" fontId="28" fillId="0" borderId="14" xfId="0" applyFont="1" applyBorder="1" applyAlignment="1" applyProtection="1">
      <alignment vertical="center"/>
      <protection hidden="1"/>
    </xf>
    <xf numFmtId="0" fontId="28" fillId="0" borderId="14" xfId="0" applyFont="1" applyBorder="1" applyAlignment="1" applyProtection="1">
      <alignment vertical="center" wrapText="1"/>
      <protection hidden="1"/>
    </xf>
    <xf numFmtId="0" fontId="7" fillId="0" borderId="4" xfId="0" applyFont="1" applyBorder="1" applyAlignment="1" applyProtection="1">
      <alignment vertical="center"/>
      <protection hidden="1"/>
    </xf>
    <xf numFmtId="164" fontId="7" fillId="0" borderId="4" xfId="0" applyNumberFormat="1" applyFont="1" applyBorder="1" applyAlignment="1" applyProtection="1">
      <alignment horizontal="right" vertical="center"/>
      <protection hidden="1"/>
    </xf>
    <xf numFmtId="0" fontId="28" fillId="0" borderId="16" xfId="0" applyFont="1" applyBorder="1" applyAlignment="1" applyProtection="1">
      <alignment vertical="center"/>
      <protection hidden="1"/>
    </xf>
    <xf numFmtId="0" fontId="29" fillId="0" borderId="11" xfId="0" applyFont="1" applyBorder="1" applyAlignment="1" applyProtection="1">
      <alignment vertical="center" wrapText="1"/>
      <protection hidden="1"/>
    </xf>
    <xf numFmtId="0" fontId="29" fillId="0" borderId="13" xfId="0" applyFont="1" applyBorder="1" applyAlignment="1" applyProtection="1">
      <alignment vertical="center"/>
      <protection hidden="1"/>
    </xf>
    <xf numFmtId="0" fontId="29" fillId="0" borderId="14" xfId="0" applyFont="1" applyBorder="1" applyAlignment="1" applyProtection="1">
      <alignment vertical="center" wrapText="1"/>
      <protection hidden="1"/>
    </xf>
    <xf numFmtId="0" fontId="29" fillId="0" borderId="15" xfId="0" applyFont="1" applyBorder="1" applyAlignment="1" applyProtection="1">
      <alignment vertical="center"/>
      <protection hidden="1"/>
    </xf>
    <xf numFmtId="0" fontId="29" fillId="0" borderId="16" xfId="0" applyFont="1" applyBorder="1" applyAlignment="1" applyProtection="1">
      <alignment vertical="center" wrapText="1"/>
      <protection hidden="1"/>
    </xf>
    <xf numFmtId="0" fontId="30" fillId="0" borderId="22" xfId="0" applyFont="1" applyBorder="1" applyAlignment="1" applyProtection="1">
      <alignment vertical="center"/>
      <protection hidden="1"/>
    </xf>
    <xf numFmtId="0" fontId="30" fillId="0" borderId="17" xfId="0" applyFont="1" applyBorder="1" applyAlignment="1" applyProtection="1">
      <alignment vertical="center"/>
      <protection hidden="1"/>
    </xf>
    <xf numFmtId="0" fontId="30" fillId="0" borderId="16" xfId="0" applyFont="1" applyBorder="1" applyAlignment="1" applyProtection="1">
      <alignment vertical="center"/>
      <protection hidden="1"/>
    </xf>
    <xf numFmtId="0" fontId="29" fillId="0" borderId="18" xfId="0" applyFont="1" applyBorder="1" applyAlignment="1" applyProtection="1">
      <alignment vertical="center"/>
      <protection hidden="1"/>
    </xf>
    <xf numFmtId="0" fontId="29" fillId="0" borderId="9"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164" fontId="18" fillId="0" borderId="0" xfId="0" applyNumberFormat="1" applyFont="1" applyAlignment="1">
      <alignment horizontal="center" vertical="center"/>
    </xf>
    <xf numFmtId="0" fontId="18" fillId="0" borderId="0" xfId="0" applyFont="1" applyAlignment="1">
      <alignment vertical="center"/>
    </xf>
    <xf numFmtId="0" fontId="7" fillId="11" borderId="10" xfId="0" applyFont="1" applyFill="1" applyBorder="1" applyAlignment="1">
      <alignment vertical="center"/>
    </xf>
    <xf numFmtId="0" fontId="7" fillId="11" borderId="23" xfId="0" applyFont="1" applyFill="1" applyBorder="1" applyAlignment="1">
      <alignment horizontal="center" vertical="center"/>
    </xf>
    <xf numFmtId="0" fontId="31" fillId="11" borderId="23" xfId="0" applyFont="1" applyFill="1" applyBorder="1" applyAlignment="1">
      <alignment horizontal="right" vertical="center"/>
    </xf>
    <xf numFmtId="164" fontId="7" fillId="11" borderId="23" xfId="0" applyNumberFormat="1" applyFont="1" applyFill="1" applyBorder="1" applyAlignment="1">
      <alignment vertical="center"/>
    </xf>
    <xf numFmtId="164" fontId="31" fillId="11" borderId="11" xfId="0" quotePrefix="1" applyNumberFormat="1" applyFont="1" applyFill="1" applyBorder="1" applyAlignment="1">
      <alignment vertical="center"/>
    </xf>
    <xf numFmtId="0" fontId="7" fillId="8" borderId="10" xfId="0" applyFont="1" applyFill="1" applyBorder="1" applyAlignment="1">
      <alignment vertical="center"/>
    </xf>
    <xf numFmtId="0" fontId="7" fillId="8" borderId="23" xfId="0" applyFont="1" applyFill="1" applyBorder="1" applyAlignment="1">
      <alignment horizontal="center" vertical="center"/>
    </xf>
    <xf numFmtId="0" fontId="31" fillId="8" borderId="23" xfId="0" applyFont="1" applyFill="1" applyBorder="1" applyAlignment="1">
      <alignment horizontal="right" vertical="center"/>
    </xf>
    <xf numFmtId="164" fontId="7" fillId="8" borderId="23" xfId="0" applyNumberFormat="1" applyFont="1" applyFill="1" applyBorder="1" applyAlignment="1">
      <alignment vertical="center"/>
    </xf>
    <xf numFmtId="164" fontId="31" fillId="8" borderId="11" xfId="0" quotePrefix="1" applyNumberFormat="1" applyFont="1" applyFill="1" applyBorder="1" applyAlignment="1">
      <alignment vertical="center"/>
    </xf>
    <xf numFmtId="0" fontId="7" fillId="11" borderId="24" xfId="0" applyFont="1" applyFill="1" applyBorder="1" applyAlignment="1">
      <alignment horizontal="left" vertical="center"/>
    </xf>
    <xf numFmtId="0" fontId="7" fillId="11" borderId="24" xfId="0" applyFont="1" applyFill="1" applyBorder="1" applyAlignment="1">
      <alignment horizontal="center" vertical="center"/>
    </xf>
    <xf numFmtId="164" fontId="18" fillId="11" borderId="24" xfId="0" applyNumberFormat="1" applyFont="1" applyFill="1" applyBorder="1" applyAlignment="1">
      <alignment horizontal="center" vertical="center"/>
    </xf>
    <xf numFmtId="0" fontId="7" fillId="8" borderId="24" xfId="0" applyFont="1" applyFill="1" applyBorder="1" applyAlignment="1">
      <alignment horizontal="left" vertical="center"/>
    </xf>
    <xf numFmtId="0" fontId="7" fillId="8" borderId="24" xfId="0" applyFont="1" applyFill="1" applyBorder="1" applyAlignment="1">
      <alignment horizontal="center" vertical="center"/>
    </xf>
    <xf numFmtId="164" fontId="18" fillId="8" borderId="24" xfId="0" applyNumberFormat="1" applyFont="1" applyFill="1" applyBorder="1" applyAlignment="1">
      <alignment horizontal="center" vertical="center"/>
    </xf>
    <xf numFmtId="0" fontId="32" fillId="0" borderId="4" xfId="0" applyFont="1" applyBorder="1" applyAlignment="1">
      <alignment vertical="center" wrapText="1"/>
    </xf>
    <xf numFmtId="0" fontId="32" fillId="0" borderId="2" xfId="0" applyFont="1" applyBorder="1" applyAlignment="1">
      <alignment vertical="center" wrapText="1"/>
    </xf>
    <xf numFmtId="0" fontId="18" fillId="20" borderId="25" xfId="0" applyFont="1" applyFill="1" applyBorder="1" applyAlignment="1">
      <alignment vertical="center"/>
    </xf>
    <xf numFmtId="0" fontId="18" fillId="20" borderId="25" xfId="0" applyFont="1" applyFill="1" applyBorder="1" applyAlignment="1">
      <alignment horizontal="center" vertical="center"/>
    </xf>
    <xf numFmtId="0" fontId="18" fillId="20" borderId="25" xfId="0" applyFont="1" applyFill="1" applyBorder="1" applyAlignment="1">
      <alignment horizontal="left" vertical="center"/>
    </xf>
    <xf numFmtId="164" fontId="35" fillId="20" borderId="25" xfId="0" applyNumberFormat="1" applyFont="1" applyFill="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vertical="center"/>
    </xf>
    <xf numFmtId="0" fontId="7" fillId="13" borderId="10" xfId="0" applyFont="1" applyFill="1" applyBorder="1" applyAlignment="1">
      <alignment vertical="center"/>
    </xf>
    <xf numFmtId="0" fontId="7" fillId="13" borderId="23" xfId="0" applyFont="1" applyFill="1" applyBorder="1" applyAlignment="1">
      <alignment horizontal="center" vertical="center"/>
    </xf>
    <xf numFmtId="0" fontId="31" fillId="13" borderId="23" xfId="0" applyFont="1" applyFill="1" applyBorder="1" applyAlignment="1">
      <alignment horizontal="right" vertical="center"/>
    </xf>
    <xf numFmtId="164" fontId="7" fillId="13" borderId="23" xfId="0" applyNumberFormat="1" applyFont="1" applyFill="1" applyBorder="1" applyAlignment="1">
      <alignment vertical="center"/>
    </xf>
    <xf numFmtId="164" fontId="31" fillId="13" borderId="11" xfId="0" quotePrefix="1" applyNumberFormat="1" applyFont="1" applyFill="1" applyBorder="1" applyAlignment="1">
      <alignment vertical="center"/>
    </xf>
    <xf numFmtId="0" fontId="7" fillId="13" borderId="24" xfId="0" applyFont="1" applyFill="1" applyBorder="1" applyAlignment="1">
      <alignment horizontal="left" vertical="center"/>
    </xf>
    <xf numFmtId="0" fontId="7" fillId="13" borderId="24" xfId="0" applyFont="1" applyFill="1" applyBorder="1" applyAlignment="1">
      <alignment horizontal="center" vertical="center"/>
    </xf>
    <xf numFmtId="164" fontId="18" fillId="13" borderId="24" xfId="0" applyNumberFormat="1" applyFont="1" applyFill="1" applyBorder="1" applyAlignment="1">
      <alignment horizontal="center" vertical="center"/>
    </xf>
    <xf numFmtId="0" fontId="7" fillId="21" borderId="10" xfId="0" applyFont="1" applyFill="1" applyBorder="1" applyAlignment="1">
      <alignment vertical="center"/>
    </xf>
    <xf numFmtId="0" fontId="7" fillId="21" borderId="23" xfId="0" applyFont="1" applyFill="1" applyBorder="1" applyAlignment="1">
      <alignment horizontal="center" vertical="center"/>
    </xf>
    <xf numFmtId="0" fontId="31" fillId="21" borderId="23" xfId="0" applyFont="1" applyFill="1" applyBorder="1" applyAlignment="1">
      <alignment horizontal="right" vertical="center"/>
    </xf>
    <xf numFmtId="164" fontId="7" fillId="21" borderId="23" xfId="0" applyNumberFormat="1" applyFont="1" applyFill="1" applyBorder="1" applyAlignment="1">
      <alignment vertical="center"/>
    </xf>
    <xf numFmtId="164" fontId="31" fillId="21" borderId="11" xfId="0" quotePrefix="1" applyNumberFormat="1" applyFont="1" applyFill="1" applyBorder="1" applyAlignment="1">
      <alignment vertical="center"/>
    </xf>
    <xf numFmtId="0" fontId="7" fillId="21" borderId="24" xfId="0" applyFont="1" applyFill="1" applyBorder="1" applyAlignment="1">
      <alignment horizontal="left" vertical="center"/>
    </xf>
    <xf numFmtId="0" fontId="7" fillId="21" borderId="24" xfId="0" applyFont="1" applyFill="1" applyBorder="1" applyAlignment="1">
      <alignment horizontal="center" vertical="center"/>
    </xf>
    <xf numFmtId="164" fontId="18" fillId="21" borderId="24" xfId="0" applyNumberFormat="1" applyFont="1" applyFill="1" applyBorder="1" applyAlignment="1">
      <alignment horizontal="center" vertical="center"/>
    </xf>
    <xf numFmtId="0" fontId="18" fillId="0" borderId="26" xfId="0" applyFont="1" applyBorder="1" applyAlignment="1">
      <alignment vertical="center"/>
    </xf>
    <xf numFmtId="0" fontId="7" fillId="0" borderId="26" xfId="0" applyFont="1" applyBorder="1" applyAlignment="1">
      <alignment vertical="center"/>
    </xf>
    <xf numFmtId="0" fontId="7" fillId="0" borderId="26" xfId="0" applyFont="1" applyBorder="1" applyAlignment="1">
      <alignment horizontal="left" vertical="center"/>
    </xf>
    <xf numFmtId="164" fontId="7" fillId="0" borderId="26" xfId="0" applyNumberFormat="1" applyFont="1" applyBorder="1" applyAlignment="1">
      <alignment vertical="center"/>
    </xf>
    <xf numFmtId="0" fontId="7" fillId="0" borderId="26" xfId="0" applyFont="1" applyBorder="1" applyAlignment="1">
      <alignment horizontal="center" vertical="center"/>
    </xf>
    <xf numFmtId="0" fontId="7" fillId="0" borderId="17" xfId="0" applyFont="1" applyBorder="1" applyAlignment="1">
      <alignment horizontal="left" vertical="center"/>
    </xf>
    <xf numFmtId="164" fontId="7" fillId="0" borderId="17" xfId="0" applyNumberFormat="1" applyFont="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left" vertical="center"/>
    </xf>
    <xf numFmtId="164" fontId="7" fillId="0" borderId="18" xfId="0" applyNumberFormat="1" applyFont="1" applyBorder="1" applyAlignment="1">
      <alignment vertical="center"/>
    </xf>
    <xf numFmtId="0" fontId="7" fillId="0" borderId="18" xfId="0" applyFont="1" applyBorder="1" applyAlignment="1">
      <alignment horizontal="center" vertical="center"/>
    </xf>
    <xf numFmtId="0" fontId="7" fillId="0" borderId="0" xfId="0" applyFont="1"/>
    <xf numFmtId="0" fontId="18" fillId="0" borderId="0" xfId="0" applyFont="1" applyAlignment="1">
      <alignment horizontal="center"/>
    </xf>
    <xf numFmtId="0" fontId="18" fillId="0" borderId="0" xfId="0" applyFont="1" applyAlignment="1">
      <alignment horizontal="left"/>
    </xf>
    <xf numFmtId="164" fontId="18" fillId="0" borderId="0" xfId="0" applyNumberFormat="1" applyFont="1" applyAlignment="1">
      <alignment horizontal="centerContinuous"/>
    </xf>
    <xf numFmtId="0" fontId="18" fillId="0" borderId="0" xfId="0" applyFont="1" applyAlignment="1">
      <alignment horizontal="centerContinuous"/>
    </xf>
    <xf numFmtId="0" fontId="18" fillId="0" borderId="0" xfId="0" applyFont="1"/>
    <xf numFmtId="0" fontId="7" fillId="17" borderId="10" xfId="0" applyFont="1" applyFill="1" applyBorder="1" applyAlignment="1">
      <alignment vertical="center"/>
    </xf>
    <xf numFmtId="0" fontId="7" fillId="17" borderId="23" xfId="0" applyFont="1" applyFill="1" applyBorder="1" applyAlignment="1">
      <alignment horizontal="center" vertical="center"/>
    </xf>
    <xf numFmtId="0" fontId="36" fillId="17" borderId="23" xfId="0" applyFont="1" applyFill="1" applyBorder="1" applyAlignment="1">
      <alignment horizontal="right" vertical="center"/>
    </xf>
    <xf numFmtId="164" fontId="7" fillId="17" borderId="23" xfId="0" applyNumberFormat="1" applyFont="1" applyFill="1" applyBorder="1" applyAlignment="1">
      <alignment vertical="center"/>
    </xf>
    <xf numFmtId="164" fontId="36" fillId="17" borderId="11" xfId="0" quotePrefix="1" applyNumberFormat="1" applyFont="1" applyFill="1" applyBorder="1" applyAlignment="1">
      <alignment vertical="center"/>
    </xf>
    <xf numFmtId="0" fontId="7" fillId="17" borderId="24" xfId="0" applyFont="1" applyFill="1" applyBorder="1" applyAlignment="1">
      <alignment horizontal="left" vertical="center"/>
    </xf>
    <xf numFmtId="0" fontId="7" fillId="17" borderId="24" xfId="0" applyFont="1" applyFill="1" applyBorder="1" applyAlignment="1">
      <alignment horizontal="center" vertical="center"/>
    </xf>
    <xf numFmtId="164" fontId="18" fillId="17" borderId="24" xfId="0" applyNumberFormat="1" applyFont="1" applyFill="1" applyBorder="1" applyAlignment="1">
      <alignment horizontal="center" vertical="center"/>
    </xf>
    <xf numFmtId="0" fontId="32" fillId="0" borderId="4" xfId="0" applyFont="1" applyBorder="1" applyAlignment="1">
      <alignment horizontal="left" vertical="center" wrapText="1"/>
    </xf>
    <xf numFmtId="0" fontId="32" fillId="0" borderId="4" xfId="0" applyFont="1" applyBorder="1" applyAlignment="1">
      <alignment horizontal="center" vertical="center" wrapText="1"/>
    </xf>
    <xf numFmtId="164" fontId="32" fillId="0" borderId="4" xfId="1" applyNumberFormat="1" applyFont="1" applyBorder="1" applyAlignment="1">
      <alignment vertical="center" wrapText="1"/>
    </xf>
    <xf numFmtId="164" fontId="32" fillId="0" borderId="4" xfId="0" applyNumberFormat="1" applyFont="1" applyBorder="1" applyAlignment="1">
      <alignment vertical="center" wrapText="1"/>
    </xf>
    <xf numFmtId="0" fontId="32" fillId="0" borderId="2" xfId="0" applyFont="1" applyBorder="1" applyAlignment="1">
      <alignment horizontal="left" vertical="center" wrapText="1"/>
    </xf>
    <xf numFmtId="0" fontId="32" fillId="0" borderId="2" xfId="0" applyFont="1" applyBorder="1" applyAlignment="1">
      <alignment horizontal="center" vertical="center" wrapText="1"/>
    </xf>
    <xf numFmtId="164" fontId="32" fillId="0" borderId="2" xfId="0" applyNumberFormat="1" applyFont="1" applyBorder="1" applyAlignment="1">
      <alignment vertical="center" wrapText="1"/>
    </xf>
    <xf numFmtId="0" fontId="32" fillId="0" borderId="5" xfId="0" applyFont="1" applyBorder="1" applyAlignment="1">
      <alignment horizontal="left" vertical="center" wrapText="1"/>
    </xf>
    <xf numFmtId="0" fontId="32" fillId="0" borderId="5" xfId="0" applyFont="1" applyBorder="1" applyAlignment="1">
      <alignment horizontal="center" vertical="center" wrapText="1"/>
    </xf>
    <xf numFmtId="164" fontId="32" fillId="0" borderId="5" xfId="0" applyNumberFormat="1" applyFont="1" applyBorder="1" applyAlignment="1">
      <alignment vertical="center" wrapText="1"/>
    </xf>
    <xf numFmtId="0" fontId="7" fillId="0" borderId="0" xfId="0" applyFont="1" applyAlignment="1">
      <alignment horizontal="center"/>
    </xf>
    <xf numFmtId="164" fontId="7" fillId="0" borderId="0" xfId="0" applyNumberFormat="1" applyFont="1"/>
    <xf numFmtId="164" fontId="36" fillId="17" borderId="11" xfId="0" applyNumberFormat="1" applyFont="1" applyFill="1" applyBorder="1" applyAlignment="1">
      <alignment vertical="center"/>
    </xf>
    <xf numFmtId="0" fontId="7" fillId="22" borderId="10" xfId="0" applyFont="1" applyFill="1" applyBorder="1" applyAlignment="1">
      <alignment vertical="center"/>
    </xf>
    <xf numFmtId="0" fontId="7" fillId="22" borderId="23" xfId="0" applyFont="1" applyFill="1" applyBorder="1" applyAlignment="1">
      <alignment horizontal="center" vertical="center"/>
    </xf>
    <xf numFmtId="0" fontId="31" fillId="22" borderId="23" xfId="0" applyFont="1" applyFill="1" applyBorder="1" applyAlignment="1">
      <alignment horizontal="right" vertical="center"/>
    </xf>
    <xf numFmtId="164" fontId="7" fillId="22" borderId="23" xfId="0" applyNumberFormat="1" applyFont="1" applyFill="1" applyBorder="1" applyAlignment="1">
      <alignment vertical="center"/>
    </xf>
    <xf numFmtId="164" fontId="31" fillId="22" borderId="11" xfId="0" quotePrefix="1" applyNumberFormat="1" applyFont="1" applyFill="1" applyBorder="1" applyAlignment="1">
      <alignment vertical="center"/>
    </xf>
    <xf numFmtId="164" fontId="31" fillId="22" borderId="11" xfId="0" applyNumberFormat="1" applyFont="1" applyFill="1" applyBorder="1" applyAlignment="1">
      <alignment vertical="center"/>
    </xf>
    <xf numFmtId="0" fontId="7" fillId="22" borderId="24" xfId="0" applyFont="1" applyFill="1" applyBorder="1" applyAlignment="1">
      <alignment horizontal="left" vertical="center"/>
    </xf>
    <xf numFmtId="0" fontId="7" fillId="22" borderId="24" xfId="0" applyFont="1" applyFill="1" applyBorder="1" applyAlignment="1">
      <alignment horizontal="center" vertical="center"/>
    </xf>
    <xf numFmtId="164" fontId="18" fillId="22" borderId="24" xfId="0" applyNumberFormat="1" applyFont="1" applyFill="1" applyBorder="1" applyAlignment="1">
      <alignment horizontal="center" vertical="center"/>
    </xf>
    <xf numFmtId="0" fontId="34" fillId="0" borderId="0" xfId="0" applyFont="1" applyAlignment="1">
      <alignment wrapText="1"/>
    </xf>
    <xf numFmtId="0" fontId="7" fillId="16" borderId="10" xfId="0" applyFont="1" applyFill="1" applyBorder="1" applyAlignment="1">
      <alignment vertical="center"/>
    </xf>
    <xf numFmtId="0" fontId="7" fillId="16" borderId="23" xfId="0" applyFont="1" applyFill="1" applyBorder="1" applyAlignment="1">
      <alignment horizontal="center" vertical="center"/>
    </xf>
    <xf numFmtId="0" fontId="36" fillId="16" borderId="23" xfId="0" applyFont="1" applyFill="1" applyBorder="1" applyAlignment="1">
      <alignment horizontal="right" vertical="center"/>
    </xf>
    <xf numFmtId="164" fontId="7" fillId="16" borderId="23" xfId="0" applyNumberFormat="1" applyFont="1" applyFill="1" applyBorder="1" applyAlignment="1">
      <alignment vertical="center"/>
    </xf>
    <xf numFmtId="164" fontId="36" fillId="16" borderId="11" xfId="0" quotePrefix="1" applyNumberFormat="1" applyFont="1" applyFill="1" applyBorder="1" applyAlignment="1">
      <alignment vertical="center"/>
    </xf>
    <xf numFmtId="0" fontId="7" fillId="16" borderId="24" xfId="0" applyFont="1" applyFill="1" applyBorder="1" applyAlignment="1">
      <alignment horizontal="left" vertical="center"/>
    </xf>
    <xf numFmtId="0" fontId="7" fillId="16" borderId="24" xfId="0" applyFont="1" applyFill="1" applyBorder="1" applyAlignment="1">
      <alignment horizontal="center" vertical="center"/>
    </xf>
    <xf numFmtId="164" fontId="18" fillId="16" borderId="24" xfId="0" applyNumberFormat="1" applyFont="1" applyFill="1" applyBorder="1" applyAlignment="1">
      <alignment horizontal="center" vertical="center"/>
    </xf>
    <xf numFmtId="164" fontId="18" fillId="0" borderId="0" xfId="0" applyNumberFormat="1" applyFont="1" applyAlignment="1">
      <alignment horizontal="center"/>
    </xf>
    <xf numFmtId="0" fontId="37" fillId="18" borderId="10" xfId="0" applyFont="1" applyFill="1" applyBorder="1" applyAlignment="1">
      <alignment vertical="center"/>
    </xf>
    <xf numFmtId="0" fontId="37" fillId="18" borderId="23" xfId="0" applyFont="1" applyFill="1" applyBorder="1" applyAlignment="1">
      <alignment horizontal="center" vertical="center"/>
    </xf>
    <xf numFmtId="0" fontId="36" fillId="18" borderId="23" xfId="0" applyFont="1" applyFill="1" applyBorder="1" applyAlignment="1">
      <alignment horizontal="right" vertical="center"/>
    </xf>
    <xf numFmtId="164" fontId="37" fillId="18" borderId="23" xfId="0" applyNumberFormat="1" applyFont="1" applyFill="1" applyBorder="1" applyAlignment="1">
      <alignment vertical="center"/>
    </xf>
    <xf numFmtId="164" fontId="36" fillId="18" borderId="11" xfId="0" quotePrefix="1" applyNumberFormat="1" applyFont="1" applyFill="1" applyBorder="1" applyAlignment="1">
      <alignment vertical="center"/>
    </xf>
    <xf numFmtId="0" fontId="37" fillId="18" borderId="24" xfId="0" applyFont="1" applyFill="1" applyBorder="1" applyAlignment="1">
      <alignment horizontal="left" vertical="center"/>
    </xf>
    <xf numFmtId="0" fontId="37" fillId="18" borderId="24" xfId="0" applyFont="1" applyFill="1" applyBorder="1" applyAlignment="1">
      <alignment horizontal="center" vertical="center"/>
    </xf>
    <xf numFmtId="164" fontId="38" fillId="18" borderId="24" xfId="0" applyNumberFormat="1" applyFont="1" applyFill="1" applyBorder="1" applyAlignment="1">
      <alignment horizontal="center" vertical="center"/>
    </xf>
    <xf numFmtId="0" fontId="39" fillId="0" borderId="0" xfId="0" applyFont="1"/>
    <xf numFmtId="0" fontId="40" fillId="0" borderId="0" xfId="0" applyFont="1"/>
    <xf numFmtId="0" fontId="27" fillId="0" borderId="0" xfId="0" applyFont="1"/>
    <xf numFmtId="0" fontId="27" fillId="20" borderId="18" xfId="0" applyFont="1" applyFill="1" applyBorder="1"/>
    <xf numFmtId="0" fontId="27" fillId="23" borderId="27" xfId="0" applyFont="1" applyFill="1" applyBorder="1"/>
    <xf numFmtId="0" fontId="44" fillId="24" borderId="29" xfId="4" applyFont="1" applyFill="1" applyBorder="1" applyAlignment="1" applyProtection="1">
      <alignment vertical="center"/>
      <protection hidden="1"/>
    </xf>
    <xf numFmtId="0" fontId="44" fillId="24" borderId="30" xfId="4" applyFont="1" applyFill="1" applyBorder="1" applyProtection="1">
      <protection hidden="1"/>
    </xf>
    <xf numFmtId="0" fontId="45" fillId="24" borderId="30" xfId="4" applyFont="1" applyFill="1" applyBorder="1" applyProtection="1">
      <protection hidden="1"/>
    </xf>
    <xf numFmtId="0" fontId="46" fillId="25" borderId="0" xfId="4" applyFont="1" applyFill="1" applyAlignment="1" applyProtection="1">
      <alignment horizontal="center" vertical="center"/>
      <protection hidden="1"/>
    </xf>
    <xf numFmtId="0" fontId="23" fillId="7" borderId="0" xfId="4" applyFont="1" applyFill="1" applyAlignment="1" applyProtection="1">
      <alignment vertical="top" wrapText="1"/>
      <protection hidden="1"/>
    </xf>
    <xf numFmtId="0" fontId="23" fillId="7" borderId="0" xfId="4" applyFont="1" applyFill="1" applyAlignment="1" applyProtection="1">
      <alignment vertical="top"/>
      <protection hidden="1"/>
    </xf>
    <xf numFmtId="0" fontId="43" fillId="0" borderId="0" xfId="4" applyProtection="1">
      <protection hidden="1"/>
    </xf>
    <xf numFmtId="0" fontId="43" fillId="0" borderId="31" xfId="4" applyBorder="1" applyProtection="1">
      <protection hidden="1"/>
    </xf>
    <xf numFmtId="0" fontId="9" fillId="0" borderId="0" xfId="4" applyFont="1" applyProtection="1">
      <protection hidden="1"/>
    </xf>
    <xf numFmtId="0" fontId="47" fillId="0" borderId="0" xfId="4" applyFont="1" applyProtection="1">
      <protection hidden="1"/>
    </xf>
    <xf numFmtId="0" fontId="48" fillId="0" borderId="0" xfId="4" applyFont="1" applyProtection="1">
      <protection hidden="1"/>
    </xf>
    <xf numFmtId="0" fontId="43" fillId="0" borderId="0" xfId="4" applyAlignment="1" applyProtection="1">
      <alignment horizontal="center"/>
      <protection hidden="1"/>
    </xf>
    <xf numFmtId="0" fontId="49" fillId="26" borderId="31" xfId="4" applyFont="1" applyFill="1" applyBorder="1" applyAlignment="1" applyProtection="1">
      <alignment horizontal="center" vertical="center"/>
      <protection hidden="1"/>
    </xf>
    <xf numFmtId="0" fontId="50" fillId="0" borderId="0" xfId="4" applyFont="1" applyAlignment="1" applyProtection="1">
      <alignment horizontal="center" vertical="center"/>
      <protection hidden="1"/>
    </xf>
    <xf numFmtId="0" fontId="43" fillId="27" borderId="31" xfId="4" applyFill="1" applyBorder="1" applyProtection="1">
      <protection hidden="1"/>
    </xf>
    <xf numFmtId="0" fontId="51" fillId="4" borderId="0" xfId="4" applyFont="1" applyFill="1" applyAlignment="1" applyProtection="1">
      <alignment vertical="center"/>
      <protection hidden="1"/>
    </xf>
    <xf numFmtId="0" fontId="5" fillId="4" borderId="0" xfId="4" applyFont="1" applyFill="1" applyAlignment="1" applyProtection="1">
      <alignment vertical="center"/>
      <protection hidden="1"/>
    </xf>
    <xf numFmtId="0" fontId="43" fillId="4" borderId="0" xfId="4" applyFill="1" applyAlignment="1" applyProtection="1">
      <alignment vertical="center"/>
      <protection hidden="1"/>
    </xf>
    <xf numFmtId="0" fontId="12" fillId="4" borderId="0" xfId="4" applyFont="1" applyFill="1" applyAlignment="1" applyProtection="1">
      <alignment horizontal="center" vertical="center"/>
      <protection hidden="1"/>
    </xf>
    <xf numFmtId="0" fontId="12" fillId="4" borderId="0" xfId="4" applyFont="1" applyFill="1" applyAlignment="1" applyProtection="1">
      <alignment horizontal="center" vertical="center" wrapText="1"/>
      <protection hidden="1"/>
    </xf>
    <xf numFmtId="0" fontId="52" fillId="4" borderId="0" xfId="4" quotePrefix="1" applyFont="1" applyFill="1" applyAlignment="1" applyProtection="1">
      <alignment horizontal="center" vertical="center"/>
      <protection hidden="1"/>
    </xf>
    <xf numFmtId="0" fontId="19" fillId="4" borderId="0" xfId="4" applyFont="1" applyFill="1" applyAlignment="1" applyProtection="1">
      <alignment horizontal="centerContinuous" vertical="center"/>
      <protection hidden="1"/>
    </xf>
    <xf numFmtId="0" fontId="53" fillId="0" borderId="0" xfId="4" applyFont="1" applyProtection="1">
      <protection hidden="1"/>
    </xf>
    <xf numFmtId="0" fontId="9" fillId="28" borderId="0" xfId="4" applyFont="1" applyFill="1" applyProtection="1">
      <protection hidden="1"/>
    </xf>
    <xf numFmtId="0" fontId="54" fillId="0" borderId="0" xfId="4" applyFont="1" applyProtection="1">
      <protection hidden="1"/>
    </xf>
    <xf numFmtId="0" fontId="48" fillId="29" borderId="0" xfId="4" applyFont="1" applyFill="1" applyProtection="1">
      <protection hidden="1"/>
    </xf>
    <xf numFmtId="0" fontId="43" fillId="29" borderId="0" xfId="4" applyFill="1" applyAlignment="1" applyProtection="1">
      <alignment horizontal="center"/>
      <protection hidden="1"/>
    </xf>
    <xf numFmtId="0" fontId="55" fillId="29" borderId="31" xfId="4" applyFont="1" applyFill="1" applyBorder="1" applyAlignment="1" applyProtection="1">
      <alignment horizontal="center" vertical="center"/>
      <protection hidden="1"/>
    </xf>
    <xf numFmtId="3" fontId="56" fillId="0" borderId="0" xfId="4" applyNumberFormat="1" applyFont="1" applyProtection="1">
      <protection hidden="1"/>
    </xf>
    <xf numFmtId="0" fontId="48" fillId="29" borderId="0" xfId="4" applyFont="1" applyFill="1" applyAlignment="1" applyProtection="1">
      <alignment horizontal="center"/>
      <protection hidden="1"/>
    </xf>
    <xf numFmtId="0" fontId="57" fillId="0" borderId="0" xfId="4" applyFont="1" applyProtection="1">
      <protection hidden="1"/>
    </xf>
    <xf numFmtId="4" fontId="9" fillId="28" borderId="31" xfId="4" applyNumberFormat="1" applyFont="1" applyFill="1" applyBorder="1" applyProtection="1">
      <protection hidden="1"/>
    </xf>
    <xf numFmtId="4" fontId="9" fillId="0" borderId="0" xfId="4" applyNumberFormat="1" applyFont="1" applyProtection="1">
      <protection hidden="1"/>
    </xf>
    <xf numFmtId="4" fontId="47" fillId="0" borderId="31" xfId="4" applyNumberFormat="1" applyFont="1" applyBorder="1" applyProtection="1">
      <protection hidden="1"/>
    </xf>
    <xf numFmtId="0" fontId="48" fillId="29" borderId="20" xfId="4" applyFont="1" applyFill="1" applyBorder="1" applyAlignment="1" applyProtection="1">
      <alignment horizontal="center"/>
      <protection hidden="1"/>
    </xf>
    <xf numFmtId="0" fontId="43" fillId="29" borderId="0" xfId="4" applyFill="1" applyProtection="1">
      <protection hidden="1"/>
    </xf>
    <xf numFmtId="0" fontId="12" fillId="0" borderId="0" xfId="4" applyFont="1" applyProtection="1">
      <protection hidden="1"/>
    </xf>
    <xf numFmtId="4" fontId="9" fillId="28" borderId="0" xfId="4" applyNumberFormat="1" applyFont="1" applyFill="1" applyProtection="1">
      <protection hidden="1"/>
    </xf>
    <xf numFmtId="0" fontId="57" fillId="0" borderId="0" xfId="4" applyFont="1" applyAlignment="1" applyProtection="1">
      <alignment horizontal="left"/>
      <protection hidden="1"/>
    </xf>
    <xf numFmtId="0" fontId="10" fillId="30" borderId="0" xfId="4" applyFont="1" applyFill="1" applyAlignment="1" applyProtection="1">
      <alignment vertical="top"/>
      <protection hidden="1"/>
    </xf>
    <xf numFmtId="0" fontId="10" fillId="30" borderId="0" xfId="4" applyFont="1" applyFill="1" applyAlignment="1" applyProtection="1">
      <alignment wrapText="1"/>
      <protection hidden="1"/>
    </xf>
    <xf numFmtId="0" fontId="58" fillId="30" borderId="0" xfId="4" applyFont="1" applyFill="1" applyAlignment="1" applyProtection="1">
      <alignment wrapText="1"/>
      <protection hidden="1"/>
    </xf>
    <xf numFmtId="0" fontId="60" fillId="30" borderId="0" xfId="4" applyFont="1" applyFill="1" applyAlignment="1" applyProtection="1">
      <alignment wrapText="1"/>
      <protection hidden="1"/>
    </xf>
    <xf numFmtId="166" fontId="10" fillId="30" borderId="0" xfId="4" applyNumberFormat="1" applyFont="1" applyFill="1" applyAlignment="1" applyProtection="1">
      <alignment horizontal="left" wrapText="1"/>
      <protection hidden="1"/>
    </xf>
    <xf numFmtId="166" fontId="10" fillId="30" borderId="0" xfId="4" applyNumberFormat="1" applyFont="1" applyFill="1" applyAlignment="1" applyProtection="1">
      <alignment horizontal="right" wrapText="1"/>
      <protection hidden="1"/>
    </xf>
    <xf numFmtId="0" fontId="43" fillId="30" borderId="0" xfId="4" applyFill="1" applyAlignment="1" applyProtection="1">
      <alignment horizontal="center"/>
      <protection hidden="1"/>
    </xf>
    <xf numFmtId="0" fontId="55" fillId="0" borderId="31" xfId="4" applyFont="1" applyBorder="1" applyAlignment="1" applyProtection="1">
      <alignment horizontal="center" vertical="center"/>
      <protection hidden="1"/>
    </xf>
    <xf numFmtId="0" fontId="43" fillId="30" borderId="20" xfId="4" applyFill="1" applyBorder="1" applyProtection="1">
      <protection hidden="1"/>
    </xf>
    <xf numFmtId="0" fontId="9" fillId="30" borderId="20" xfId="4" applyFont="1" applyFill="1" applyBorder="1" applyProtection="1">
      <protection hidden="1"/>
    </xf>
    <xf numFmtId="0" fontId="47" fillId="30" borderId="20" xfId="4" applyFont="1" applyFill="1" applyBorder="1" applyProtection="1">
      <protection hidden="1"/>
    </xf>
    <xf numFmtId="0" fontId="48" fillId="30" borderId="20" xfId="4" applyFont="1" applyFill="1" applyBorder="1" applyProtection="1">
      <protection hidden="1"/>
    </xf>
    <xf numFmtId="0" fontId="50" fillId="0" borderId="0" xfId="4" applyFont="1" applyProtection="1">
      <protection hidden="1"/>
    </xf>
    <xf numFmtId="0" fontId="61" fillId="31" borderId="0" xfId="4" applyFont="1" applyFill="1" applyProtection="1">
      <protection hidden="1"/>
    </xf>
    <xf numFmtId="0" fontId="43" fillId="31" borderId="0" xfId="4" applyFill="1" applyProtection="1">
      <protection hidden="1"/>
    </xf>
    <xf numFmtId="167" fontId="43" fillId="0" borderId="0" xfId="4" applyNumberFormat="1" applyAlignment="1" applyProtection="1">
      <alignment horizontal="left"/>
      <protection hidden="1"/>
    </xf>
    <xf numFmtId="9" fontId="43" fillId="0" borderId="0" xfId="4" applyNumberFormat="1" applyProtection="1">
      <protection hidden="1"/>
    </xf>
    <xf numFmtId="168" fontId="43" fillId="0" borderId="0" xfId="5" applyNumberFormat="1" applyProtection="1">
      <protection hidden="1"/>
    </xf>
    <xf numFmtId="1" fontId="43" fillId="0" borderId="0" xfId="4" applyNumberFormat="1" applyAlignment="1" applyProtection="1">
      <alignment horizontal="left"/>
      <protection hidden="1"/>
    </xf>
    <xf numFmtId="0" fontId="62" fillId="0" borderId="0" xfId="5" applyFont="1" applyAlignment="1" applyProtection="1">
      <alignment horizontal="center"/>
      <protection hidden="1"/>
    </xf>
    <xf numFmtId="1" fontId="43" fillId="0" borderId="0" xfId="5" applyNumberFormat="1" applyProtection="1">
      <protection hidden="1"/>
    </xf>
    <xf numFmtId="0" fontId="9" fillId="0" borderId="0" xfId="5" applyFont="1" applyProtection="1">
      <protection hidden="1"/>
    </xf>
    <xf numFmtId="0" fontId="43" fillId="0" borderId="0" xfId="5" applyProtection="1">
      <protection hidden="1"/>
    </xf>
    <xf numFmtId="0" fontId="43" fillId="0" borderId="0" xfId="4" applyAlignment="1" applyProtection="1">
      <alignment horizontal="left"/>
      <protection hidden="1"/>
    </xf>
    <xf numFmtId="1" fontId="63" fillId="0" borderId="0" xfId="5" applyNumberFormat="1" applyFont="1" applyAlignment="1" applyProtection="1">
      <alignment vertical="center"/>
      <protection hidden="1"/>
    </xf>
    <xf numFmtId="9" fontId="64" fillId="0" borderId="0" xfId="5" applyNumberFormat="1" applyFont="1" applyAlignment="1" applyProtection="1">
      <alignment horizontal="left" vertical="center"/>
      <protection hidden="1"/>
    </xf>
    <xf numFmtId="0" fontId="65" fillId="0" borderId="0" xfId="4" applyFont="1" applyAlignment="1" applyProtection="1">
      <alignment horizontal="left" vertical="center"/>
      <protection hidden="1"/>
    </xf>
    <xf numFmtId="0" fontId="65" fillId="0" borderId="0" xfId="5" applyFont="1" applyAlignment="1" applyProtection="1">
      <alignment horizontal="left" vertical="center"/>
      <protection hidden="1"/>
    </xf>
    <xf numFmtId="0" fontId="66" fillId="0" borderId="0" xfId="4" applyFont="1" applyProtection="1">
      <protection hidden="1"/>
    </xf>
    <xf numFmtId="0" fontId="46" fillId="0" borderId="0" xfId="4" applyFont="1" applyAlignment="1" applyProtection="1">
      <alignment vertical="center"/>
      <protection hidden="1"/>
    </xf>
    <xf numFmtId="168" fontId="43" fillId="0" borderId="0" xfId="4" applyNumberFormat="1" applyProtection="1">
      <protection hidden="1"/>
    </xf>
    <xf numFmtId="0" fontId="67" fillId="0" borderId="0" xfId="4" applyFont="1" applyProtection="1">
      <protection hidden="1"/>
    </xf>
    <xf numFmtId="0" fontId="68" fillId="0" borderId="0" xfId="4" applyFont="1" applyProtection="1">
      <protection hidden="1"/>
    </xf>
    <xf numFmtId="0" fontId="63" fillId="0" borderId="0" xfId="5" applyFont="1" applyAlignment="1" applyProtection="1">
      <alignment vertical="center"/>
      <protection hidden="1"/>
    </xf>
    <xf numFmtId="0" fontId="64" fillId="0" borderId="0" xfId="5" applyFont="1" applyAlignment="1" applyProtection="1">
      <alignment horizontal="left" vertical="center"/>
      <protection hidden="1"/>
    </xf>
    <xf numFmtId="0" fontId="2" fillId="25" borderId="0" xfId="0" applyFont="1" applyFill="1" applyAlignment="1" applyProtection="1">
      <alignment vertical="center"/>
      <protection hidden="1"/>
    </xf>
    <xf numFmtId="0" fontId="4" fillId="25" borderId="0" xfId="0" applyFont="1" applyFill="1" applyAlignment="1" applyProtection="1">
      <alignment vertical="center"/>
      <protection hidden="1"/>
    </xf>
    <xf numFmtId="0" fontId="27" fillId="0" borderId="0" xfId="0" applyFont="1" applyAlignment="1" applyProtection="1">
      <alignment vertical="center"/>
      <protection hidden="1"/>
    </xf>
    <xf numFmtId="0" fontId="24" fillId="0" borderId="0" xfId="0" applyFont="1" applyAlignment="1">
      <alignment horizontal="left" vertical="center"/>
    </xf>
    <xf numFmtId="0" fontId="14" fillId="0" borderId="0" xfId="0" applyFont="1" applyAlignment="1">
      <alignment horizontal="left" vertical="center"/>
    </xf>
    <xf numFmtId="164" fontId="14" fillId="0" borderId="0" xfId="0" applyNumberFormat="1" applyFont="1" applyAlignment="1">
      <alignment horizontal="right" vertical="center"/>
    </xf>
    <xf numFmtId="0" fontId="16" fillId="20" borderId="3" xfId="0" applyFont="1" applyFill="1" applyBorder="1" applyAlignment="1">
      <alignment horizontal="left" vertical="center"/>
    </xf>
    <xf numFmtId="164" fontId="16" fillId="20" borderId="3" xfId="0" applyNumberFormat="1" applyFont="1" applyFill="1" applyBorder="1" applyAlignment="1">
      <alignment horizontal="right" vertical="center" indent="1"/>
    </xf>
    <xf numFmtId="0" fontId="7" fillId="0" borderId="2" xfId="0" applyFont="1" applyBorder="1" applyAlignment="1">
      <alignment horizontal="left" vertical="center"/>
    </xf>
    <xf numFmtId="0" fontId="7" fillId="0" borderId="2"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wrapText="1"/>
    </xf>
    <xf numFmtId="0" fontId="28" fillId="0" borderId="16" xfId="0" applyFont="1" applyBorder="1" applyAlignment="1">
      <alignment vertical="center" wrapText="1"/>
    </xf>
    <xf numFmtId="0" fontId="7" fillId="0" borderId="5" xfId="0" applyFont="1" applyBorder="1" applyAlignment="1">
      <alignment horizontal="left" vertical="center"/>
    </xf>
    <xf numFmtId="0" fontId="7" fillId="0" borderId="0" xfId="0" applyFont="1" applyAlignment="1">
      <alignment horizontal="right" vertical="center"/>
    </xf>
    <xf numFmtId="164" fontId="7" fillId="0" borderId="0" xfId="0" applyNumberFormat="1" applyFont="1" applyAlignment="1">
      <alignment horizontal="right" vertical="center"/>
    </xf>
    <xf numFmtId="0" fontId="7" fillId="0" borderId="2" xfId="0" applyFont="1" applyBorder="1" applyAlignment="1">
      <alignment vertical="center" wrapText="1"/>
    </xf>
    <xf numFmtId="0" fontId="29" fillId="0" borderId="8" xfId="0" applyFont="1" applyBorder="1" applyAlignment="1">
      <alignment vertical="center"/>
    </xf>
    <xf numFmtId="0" fontId="7" fillId="0" borderId="5" xfId="0" applyFont="1" applyBorder="1" applyAlignment="1">
      <alignment vertical="center"/>
    </xf>
    <xf numFmtId="164" fontId="7" fillId="0" borderId="5" xfId="0" applyNumberFormat="1" applyFont="1" applyBorder="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29" fillId="0" borderId="10" xfId="0" applyFont="1" applyBorder="1" applyAlignment="1" applyProtection="1">
      <alignment vertical="center"/>
      <protection hidden="1"/>
    </xf>
    <xf numFmtId="0" fontId="7" fillId="0" borderId="12" xfId="0" applyFont="1" applyBorder="1" applyAlignment="1">
      <alignment horizontal="left" vertical="center"/>
    </xf>
    <xf numFmtId="0" fontId="7" fillId="0" borderId="12" xfId="0" applyFont="1" applyBorder="1" applyAlignment="1">
      <alignment vertical="center"/>
    </xf>
    <xf numFmtId="164" fontId="7" fillId="0" borderId="12" xfId="0" applyNumberFormat="1" applyFont="1" applyBorder="1" applyAlignment="1">
      <alignment horizontal="right" vertical="center"/>
    </xf>
    <xf numFmtId="0" fontId="29" fillId="0" borderId="13" xfId="0" applyFont="1" applyBorder="1" applyAlignment="1">
      <alignment vertical="center"/>
    </xf>
    <xf numFmtId="0" fontId="28" fillId="0" borderId="14" xfId="0" applyFont="1" applyBorder="1" applyAlignment="1">
      <alignment vertical="center"/>
    </xf>
    <xf numFmtId="0" fontId="28" fillId="0" borderId="14" xfId="0" applyFont="1" applyBorder="1" applyAlignment="1">
      <alignment vertical="center" wrapText="1"/>
    </xf>
    <xf numFmtId="0" fontId="7" fillId="0" borderId="4" xfId="0" applyFont="1" applyBorder="1" applyAlignment="1">
      <alignment vertical="center"/>
    </xf>
    <xf numFmtId="164" fontId="7" fillId="0" borderId="4" xfId="0" applyNumberFormat="1" applyFont="1" applyBorder="1" applyAlignment="1">
      <alignment horizontal="right" vertical="center"/>
    </xf>
    <xf numFmtId="0" fontId="29" fillId="0" borderId="15" xfId="0" applyFont="1" applyBorder="1" applyAlignment="1">
      <alignment vertical="center"/>
    </xf>
    <xf numFmtId="0" fontId="28" fillId="0" borderId="16"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wrapText="1"/>
    </xf>
    <xf numFmtId="164" fontId="7" fillId="0" borderId="14"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7" fillId="0" borderId="14" xfId="0" applyNumberFormat="1" applyFont="1" applyBorder="1" applyAlignment="1">
      <alignment horizontal="left" vertical="center"/>
    </xf>
    <xf numFmtId="164" fontId="7" fillId="0" borderId="15" xfId="0" applyNumberFormat="1" applyFont="1" applyBorder="1" applyAlignment="1">
      <alignment horizontal="center" vertical="center"/>
    </xf>
    <xf numFmtId="164" fontId="7" fillId="0" borderId="16" xfId="0" applyNumberFormat="1" applyFont="1" applyBorder="1" applyAlignment="1">
      <alignment horizontal="center" vertical="center"/>
    </xf>
    <xf numFmtId="0" fontId="18" fillId="0" borderId="15" xfId="0" applyFont="1" applyBorder="1" applyAlignment="1">
      <alignment horizontal="left" vertical="center"/>
    </xf>
    <xf numFmtId="164" fontId="7" fillId="0" borderId="17" xfId="0" applyNumberFormat="1" applyFont="1" applyBorder="1" applyAlignment="1">
      <alignment horizontal="right" vertical="center"/>
    </xf>
    <xf numFmtId="0" fontId="30" fillId="0" borderId="22" xfId="0" applyFont="1" applyBorder="1" applyAlignment="1">
      <alignment vertical="center"/>
    </xf>
    <xf numFmtId="0" fontId="30" fillId="0" borderId="17" xfId="0" applyFont="1" applyBorder="1" applyAlignment="1">
      <alignment vertical="center"/>
    </xf>
    <xf numFmtId="0" fontId="30" fillId="0" borderId="16" xfId="0" applyFont="1" applyBorder="1" applyAlignment="1">
      <alignment vertical="center"/>
    </xf>
    <xf numFmtId="0" fontId="18" fillId="0" borderId="8" xfId="0" applyFont="1" applyBorder="1" applyAlignment="1">
      <alignment horizontal="left" vertical="center"/>
    </xf>
    <xf numFmtId="164" fontId="7" fillId="0" borderId="18" xfId="0" applyNumberFormat="1" applyFont="1" applyBorder="1" applyAlignment="1">
      <alignment horizontal="right" vertical="center"/>
    </xf>
    <xf numFmtId="0" fontId="29" fillId="0" borderId="18" xfId="0" applyFont="1" applyBorder="1" applyAlignment="1">
      <alignment vertical="center"/>
    </xf>
    <xf numFmtId="0" fontId="29" fillId="0" borderId="9" xfId="0" applyFont="1" applyBorder="1" applyAlignment="1">
      <alignment vertical="center"/>
    </xf>
    <xf numFmtId="0" fontId="29" fillId="0" borderId="23" xfId="0" applyFont="1" applyBorder="1" applyAlignment="1">
      <alignment vertical="center"/>
    </xf>
    <xf numFmtId="0" fontId="34" fillId="0" borderId="0" xfId="0" applyFont="1" applyAlignment="1">
      <alignment vertical="center" wrapText="1"/>
    </xf>
    <xf numFmtId="16" fontId="32" fillId="0" borderId="2" xfId="0" applyNumberFormat="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wrapText="1"/>
    </xf>
    <xf numFmtId="164" fontId="32" fillId="0" borderId="16" xfId="1" applyNumberFormat="1" applyFont="1" applyBorder="1" applyAlignment="1">
      <alignment vertical="center" wrapText="1"/>
    </xf>
    <xf numFmtId="164" fontId="32" fillId="0" borderId="9" xfId="0" applyNumberFormat="1" applyFont="1" applyBorder="1" applyAlignment="1">
      <alignment vertical="center" wrapText="1"/>
    </xf>
    <xf numFmtId="0" fontId="32" fillId="0" borderId="7" xfId="0" applyFont="1" applyBorder="1" applyAlignment="1">
      <alignment horizontal="left" vertical="center" wrapText="1"/>
    </xf>
    <xf numFmtId="0" fontId="36" fillId="18" borderId="10" xfId="0" applyFont="1" applyFill="1" applyBorder="1" applyAlignment="1">
      <alignment horizontal="right" vertical="center"/>
    </xf>
    <xf numFmtId="0" fontId="32" fillId="0" borderId="32" xfId="0" applyFont="1" applyBorder="1" applyAlignment="1">
      <alignment horizontal="left" vertical="center" wrapText="1"/>
    </xf>
    <xf numFmtId="0" fontId="32" fillId="0" borderId="9" xfId="0" applyFont="1" applyBorder="1" applyAlignment="1">
      <alignment horizontal="left" vertical="center" wrapText="1"/>
    </xf>
    <xf numFmtId="164" fontId="32" fillId="0" borderId="11" xfId="0" applyNumberFormat="1" applyFont="1" applyBorder="1" applyAlignment="1">
      <alignment vertical="center" wrapText="1"/>
    </xf>
    <xf numFmtId="4" fontId="39" fillId="0" borderId="0" xfId="0" applyNumberFormat="1" applyFont="1"/>
    <xf numFmtId="4" fontId="41" fillId="0" borderId="0" xfId="0" applyNumberFormat="1" applyFont="1" applyAlignment="1">
      <alignment vertical="center"/>
    </xf>
    <xf numFmtId="4" fontId="42" fillId="20" borderId="18" xfId="0" applyNumberFormat="1" applyFont="1" applyFill="1" applyBorder="1" applyAlignment="1">
      <alignment vertical="center"/>
    </xf>
    <xf numFmtId="170" fontId="41" fillId="0" borderId="0" xfId="0" applyNumberFormat="1" applyFont="1" applyAlignment="1">
      <alignment horizontal="right" vertical="center"/>
    </xf>
    <xf numFmtId="4" fontId="42" fillId="23" borderId="27" xfId="0" applyNumberFormat="1" applyFont="1" applyFill="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24" fillId="0" borderId="0" xfId="0" applyFont="1" applyAlignment="1">
      <alignment vertical="center" wrapText="1"/>
    </xf>
    <xf numFmtId="49" fontId="25" fillId="20" borderId="0" xfId="0" applyNumberFormat="1" applyFont="1" applyFill="1" applyAlignment="1">
      <alignment horizontal="right" indent="1"/>
    </xf>
    <xf numFmtId="0" fontId="25" fillId="20" borderId="0" xfId="0" applyFont="1" applyFill="1" applyAlignment="1">
      <alignment horizontal="left"/>
    </xf>
    <xf numFmtId="0" fontId="25" fillId="20" borderId="0" xfId="0" applyFont="1" applyFill="1" applyAlignment="1">
      <alignment horizontal="center"/>
    </xf>
    <xf numFmtId="49" fontId="25" fillId="0" borderId="0" xfId="0" applyNumberFormat="1" applyFont="1" applyAlignment="1">
      <alignment horizontal="right" indent="1"/>
    </xf>
    <xf numFmtId="0" fontId="25" fillId="0" borderId="0" xfId="0" applyFont="1" applyAlignment="1">
      <alignment horizontal="center"/>
    </xf>
    <xf numFmtId="0" fontId="33" fillId="0" borderId="0" xfId="0" applyFont="1" applyAlignment="1">
      <alignment vertical="center" wrapText="1"/>
    </xf>
    <xf numFmtId="167" fontId="43" fillId="31" borderId="0" xfId="4" applyNumberFormat="1" applyFill="1" applyAlignment="1" applyProtection="1">
      <alignment horizontal="left"/>
      <protection hidden="1"/>
    </xf>
    <xf numFmtId="0" fontId="72" fillId="0" borderId="0" xfId="5" applyFont="1" applyAlignment="1" applyProtection="1">
      <alignment horizontal="center"/>
      <protection hidden="1"/>
    </xf>
    <xf numFmtId="4" fontId="41" fillId="0" borderId="0" xfId="0" applyNumberFormat="1" applyFont="1" applyAlignment="1">
      <alignment horizontal="right" vertical="center"/>
    </xf>
    <xf numFmtId="0" fontId="0" fillId="0" borderId="0" xfId="0" applyAlignment="1">
      <alignment horizontal="left" indent="2"/>
    </xf>
    <xf numFmtId="0" fontId="71" fillId="32" borderId="0" xfId="0" applyFont="1" applyFill="1" applyAlignment="1">
      <alignment horizontal="left" indent="2"/>
    </xf>
    <xf numFmtId="4" fontId="74" fillId="32" borderId="0" xfId="0" applyNumberFormat="1" applyFont="1" applyFill="1" applyAlignment="1">
      <alignment horizontal="left" indent="2"/>
    </xf>
    <xf numFmtId="4" fontId="73" fillId="32" borderId="0" xfId="0" applyNumberFormat="1" applyFont="1" applyFill="1" applyAlignment="1">
      <alignment horizontal="left" indent="2"/>
    </xf>
    <xf numFmtId="0" fontId="39" fillId="0" borderId="0" xfId="0" applyFont="1" applyProtection="1">
      <protection hidden="1"/>
    </xf>
    <xf numFmtId="0" fontId="40" fillId="0" borderId="0" xfId="0" applyFont="1" applyProtection="1">
      <protection hidden="1"/>
    </xf>
    <xf numFmtId="0" fontId="27" fillId="20" borderId="18" xfId="0" applyFont="1" applyFill="1" applyBorder="1" applyProtection="1">
      <protection hidden="1"/>
    </xf>
    <xf numFmtId="0" fontId="27" fillId="0" borderId="0" xfId="0" applyFont="1" applyProtection="1">
      <protection hidden="1"/>
    </xf>
    <xf numFmtId="0" fontId="27" fillId="23" borderId="27" xfId="0" applyFont="1" applyFill="1" applyBorder="1" applyProtection="1">
      <protection hidden="1"/>
    </xf>
    <xf numFmtId="0" fontId="7" fillId="0" borderId="0" xfId="0" applyFont="1" applyAlignment="1" applyProtection="1">
      <alignment horizontal="left"/>
      <protection hidden="1"/>
    </xf>
    <xf numFmtId="0" fontId="18" fillId="0" borderId="0" xfId="0" applyFont="1" applyAlignment="1" applyProtection="1">
      <alignment horizontal="center"/>
      <protection hidden="1"/>
    </xf>
    <xf numFmtId="164" fontId="18" fillId="0" borderId="0" xfId="0" applyNumberFormat="1" applyFont="1" applyAlignment="1" applyProtection="1">
      <alignment horizontal="center"/>
      <protection hidden="1"/>
    </xf>
    <xf numFmtId="0" fontId="37" fillId="18" borderId="10" xfId="0" applyFont="1" applyFill="1" applyBorder="1" applyAlignment="1" applyProtection="1">
      <alignment vertical="center"/>
      <protection hidden="1"/>
    </xf>
    <xf numFmtId="0" fontId="37" fillId="18" borderId="23" xfId="0" applyFont="1" applyFill="1" applyBorder="1" applyAlignment="1" applyProtection="1">
      <alignment horizontal="center" vertical="center"/>
      <protection hidden="1"/>
    </xf>
    <xf numFmtId="0" fontId="36" fillId="18" borderId="23" xfId="0" applyFont="1" applyFill="1" applyBorder="1" applyAlignment="1" applyProtection="1">
      <alignment horizontal="right" vertical="center"/>
      <protection hidden="1"/>
    </xf>
    <xf numFmtId="164" fontId="37" fillId="18" borderId="23" xfId="0" applyNumberFormat="1" applyFont="1" applyFill="1" applyBorder="1" applyAlignment="1" applyProtection="1">
      <alignment vertical="center"/>
      <protection hidden="1"/>
    </xf>
    <xf numFmtId="164" fontId="36" fillId="18" borderId="11" xfId="0" quotePrefix="1" applyNumberFormat="1" applyFont="1" applyFill="1" applyBorder="1" applyAlignment="1" applyProtection="1">
      <alignment vertical="center"/>
      <protection hidden="1"/>
    </xf>
    <xf numFmtId="0" fontId="37" fillId="18" borderId="24" xfId="0" applyFont="1" applyFill="1" applyBorder="1" applyAlignment="1" applyProtection="1">
      <alignment horizontal="left" vertical="center"/>
      <protection hidden="1"/>
    </xf>
    <xf numFmtId="0" fontId="37" fillId="18" borderId="24" xfId="0" applyFont="1" applyFill="1" applyBorder="1" applyAlignment="1" applyProtection="1">
      <alignment horizontal="center" vertical="center"/>
      <protection hidden="1"/>
    </xf>
    <xf numFmtId="164" fontId="38" fillId="18" borderId="24" xfId="0" applyNumberFormat="1" applyFont="1" applyFill="1" applyBorder="1" applyAlignment="1" applyProtection="1">
      <alignment horizontal="center" vertical="center"/>
      <protection hidden="1"/>
    </xf>
    <xf numFmtId="0" fontId="32" fillId="0" borderId="2" xfId="0" applyFont="1" applyBorder="1" applyAlignment="1" applyProtection="1">
      <alignment horizontal="left" vertical="center"/>
      <protection hidden="1"/>
    </xf>
    <xf numFmtId="0" fontId="32" fillId="0" borderId="2" xfId="0" applyFont="1" applyBorder="1" applyAlignment="1" applyProtection="1">
      <alignment horizontal="center" vertical="center"/>
      <protection hidden="1"/>
    </xf>
    <xf numFmtId="0" fontId="32" fillId="0" borderId="5" xfId="0" applyFont="1" applyBorder="1" applyAlignment="1" applyProtection="1">
      <alignment horizontal="left" vertical="center"/>
      <protection hidden="1"/>
    </xf>
    <xf numFmtId="0" fontId="32" fillId="0" borderId="5" xfId="0" applyFont="1" applyBorder="1" applyAlignment="1" applyProtection="1">
      <alignment horizontal="center" vertical="center"/>
      <protection hidden="1"/>
    </xf>
    <xf numFmtId="0" fontId="18" fillId="20" borderId="25" xfId="0" applyFont="1" applyFill="1" applyBorder="1" applyAlignment="1" applyProtection="1">
      <alignment vertical="center"/>
      <protection hidden="1"/>
    </xf>
    <xf numFmtId="0" fontId="18" fillId="20" borderId="25" xfId="0" applyFont="1" applyFill="1" applyBorder="1" applyAlignment="1" applyProtection="1">
      <alignment horizontal="center" vertical="center"/>
      <protection hidden="1"/>
    </xf>
    <xf numFmtId="0" fontId="18" fillId="20" borderId="25" xfId="0" applyFont="1" applyFill="1" applyBorder="1" applyAlignment="1" applyProtection="1">
      <alignment horizontal="left" vertical="center"/>
      <protection hidden="1"/>
    </xf>
    <xf numFmtId="0" fontId="7" fillId="0" borderId="0" xfId="0" applyFont="1" applyAlignment="1" applyProtection="1">
      <alignment horizontal="center"/>
      <protection hidden="1"/>
    </xf>
    <xf numFmtId="164" fontId="7" fillId="0" borderId="0" xfId="0" applyNumberFormat="1" applyFont="1" applyProtection="1">
      <protection hidden="1"/>
    </xf>
    <xf numFmtId="164" fontId="32" fillId="0" borderId="11" xfId="0" applyNumberFormat="1" applyFont="1" applyBorder="1" applyAlignment="1" applyProtection="1">
      <alignment vertical="center"/>
      <protection hidden="1"/>
    </xf>
    <xf numFmtId="0" fontId="18" fillId="0" borderId="26"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164" fontId="7" fillId="0" borderId="26" xfId="0" applyNumberFormat="1" applyFont="1" applyBorder="1" applyAlignment="1" applyProtection="1">
      <alignment vertical="center"/>
      <protection hidden="1"/>
    </xf>
    <xf numFmtId="0" fontId="7" fillId="0" borderId="26" xfId="0" applyFont="1" applyBorder="1" applyAlignment="1" applyProtection="1">
      <alignment horizontal="center" vertical="center"/>
      <protection hidden="1"/>
    </xf>
    <xf numFmtId="164" fontId="7" fillId="0" borderId="17" xfId="0" applyNumberFormat="1" applyFont="1" applyBorder="1" applyAlignment="1" applyProtection="1">
      <alignment vertical="center"/>
      <protection hidden="1"/>
    </xf>
    <xf numFmtId="0" fontId="7" fillId="0" borderId="17" xfId="0" applyFont="1" applyBorder="1" applyAlignment="1" applyProtection="1">
      <alignment horizontal="center" vertical="center"/>
      <protection hidden="1"/>
    </xf>
    <xf numFmtId="164" fontId="7" fillId="0" borderId="18" xfId="0" applyNumberFormat="1" applyFont="1" applyBorder="1" applyAlignment="1" applyProtection="1">
      <alignment vertical="center"/>
      <protection hidden="1"/>
    </xf>
    <xf numFmtId="0" fontId="7" fillId="0" borderId="18" xfId="0" applyFont="1" applyBorder="1" applyAlignment="1" applyProtection="1">
      <alignment horizontal="center" vertical="center"/>
      <protection hidden="1"/>
    </xf>
    <xf numFmtId="0" fontId="18" fillId="0" borderId="0" xfId="0" applyFont="1" applyAlignment="1" applyProtection="1">
      <alignment horizontal="left"/>
      <protection hidden="1"/>
    </xf>
    <xf numFmtId="164" fontId="18" fillId="0" borderId="0" xfId="0" applyNumberFormat="1" applyFont="1" applyAlignment="1" applyProtection="1">
      <alignment horizontal="centerContinuous"/>
      <protection hidden="1"/>
    </xf>
    <xf numFmtId="0" fontId="18" fillId="0" borderId="0" xfId="0" applyFont="1" applyAlignment="1" applyProtection="1">
      <alignment horizontal="centerContinuous"/>
      <protection hidden="1"/>
    </xf>
    <xf numFmtId="0" fontId="18" fillId="0" borderId="0" xfId="0" applyFont="1" applyProtection="1">
      <protection hidden="1"/>
    </xf>
    <xf numFmtId="0" fontId="7" fillId="17" borderId="10" xfId="0" applyFont="1" applyFill="1" applyBorder="1" applyAlignment="1" applyProtection="1">
      <alignment vertical="center"/>
      <protection hidden="1"/>
    </xf>
    <xf numFmtId="0" fontId="7" fillId="17" borderId="23" xfId="0" applyFont="1" applyFill="1" applyBorder="1" applyAlignment="1" applyProtection="1">
      <alignment horizontal="center" vertical="center"/>
      <protection hidden="1"/>
    </xf>
    <xf numFmtId="0" fontId="36" fillId="17" borderId="23" xfId="0" applyFont="1" applyFill="1" applyBorder="1" applyAlignment="1" applyProtection="1">
      <alignment horizontal="right" vertical="center"/>
      <protection hidden="1"/>
    </xf>
    <xf numFmtId="164" fontId="7" fillId="17" borderId="23" xfId="0" applyNumberFormat="1" applyFont="1" applyFill="1" applyBorder="1" applyAlignment="1" applyProtection="1">
      <alignment vertical="center"/>
      <protection hidden="1"/>
    </xf>
    <xf numFmtId="164" fontId="36" fillId="17" borderId="11" xfId="0" quotePrefix="1" applyNumberFormat="1" applyFont="1" applyFill="1" applyBorder="1" applyAlignment="1" applyProtection="1">
      <alignment vertical="center"/>
      <protection hidden="1"/>
    </xf>
    <xf numFmtId="0" fontId="7" fillId="17" borderId="24" xfId="0" applyFont="1" applyFill="1" applyBorder="1" applyAlignment="1" applyProtection="1">
      <alignment horizontal="left" vertical="center"/>
      <protection hidden="1"/>
    </xf>
    <xf numFmtId="0" fontId="7" fillId="17" borderId="24" xfId="0" applyFont="1" applyFill="1" applyBorder="1" applyAlignment="1" applyProtection="1">
      <alignment horizontal="center" vertical="center"/>
      <protection hidden="1"/>
    </xf>
    <xf numFmtId="164" fontId="18" fillId="17" borderId="24" xfId="0" applyNumberFormat="1" applyFont="1" applyFill="1" applyBorder="1" applyAlignment="1" applyProtection="1">
      <alignment horizontal="center" vertical="center"/>
      <protection hidden="1"/>
    </xf>
    <xf numFmtId="0" fontId="34" fillId="0" borderId="0" xfId="0" applyFont="1" applyProtection="1">
      <protection hidden="1"/>
    </xf>
    <xf numFmtId="0" fontId="32" fillId="0" borderId="5" xfId="0" applyFont="1" applyBorder="1" applyAlignment="1" applyProtection="1">
      <alignment horizontal="left" vertical="center" wrapText="1"/>
      <protection hidden="1"/>
    </xf>
    <xf numFmtId="0" fontId="32" fillId="0" borderId="5" xfId="0" applyFont="1" applyBorder="1" applyAlignment="1" applyProtection="1">
      <alignment horizontal="center" vertical="center" wrapText="1"/>
      <protection hidden="1"/>
    </xf>
    <xf numFmtId="0" fontId="7" fillId="22" borderId="10" xfId="0" applyFont="1" applyFill="1" applyBorder="1" applyAlignment="1" applyProtection="1">
      <alignment vertical="center"/>
      <protection hidden="1"/>
    </xf>
    <xf numFmtId="0" fontId="7" fillId="22" borderId="23" xfId="0" applyFont="1" applyFill="1" applyBorder="1" applyAlignment="1" applyProtection="1">
      <alignment horizontal="center" vertical="center"/>
      <protection hidden="1"/>
    </xf>
    <xf numFmtId="0" fontId="31" fillId="22" borderId="23" xfId="0" applyFont="1" applyFill="1" applyBorder="1" applyAlignment="1" applyProtection="1">
      <alignment horizontal="right" vertical="center"/>
      <protection hidden="1"/>
    </xf>
    <xf numFmtId="164" fontId="7" fillId="22" borderId="23" xfId="0" applyNumberFormat="1" applyFont="1" applyFill="1" applyBorder="1" applyAlignment="1" applyProtection="1">
      <alignment vertical="center"/>
      <protection hidden="1"/>
    </xf>
    <xf numFmtId="0" fontId="7" fillId="22" borderId="24" xfId="0" applyFont="1" applyFill="1" applyBorder="1" applyAlignment="1" applyProtection="1">
      <alignment horizontal="left" vertical="center"/>
      <protection hidden="1"/>
    </xf>
    <xf numFmtId="0" fontId="7" fillId="22" borderId="24" xfId="0" applyFont="1" applyFill="1" applyBorder="1" applyAlignment="1" applyProtection="1">
      <alignment horizontal="center" vertical="center"/>
      <protection hidden="1"/>
    </xf>
    <xf numFmtId="164" fontId="18" fillId="22" borderId="24" xfId="0" applyNumberFormat="1" applyFont="1" applyFill="1" applyBorder="1" applyAlignment="1" applyProtection="1">
      <alignment horizontal="center" vertical="center"/>
      <protection hidden="1"/>
    </xf>
    <xf numFmtId="0" fontId="34" fillId="0" borderId="0" xfId="0" applyFont="1" applyAlignment="1" applyProtection="1">
      <alignment wrapText="1"/>
      <protection hidden="1"/>
    </xf>
    <xf numFmtId="0" fontId="7" fillId="16" borderId="10" xfId="0" applyFont="1" applyFill="1" applyBorder="1" applyAlignment="1" applyProtection="1">
      <alignment vertical="center"/>
      <protection hidden="1"/>
    </xf>
    <xf numFmtId="0" fontId="7" fillId="16" borderId="23" xfId="0" applyFont="1" applyFill="1" applyBorder="1" applyAlignment="1" applyProtection="1">
      <alignment horizontal="center" vertical="center"/>
      <protection hidden="1"/>
    </xf>
    <xf numFmtId="0" fontId="36" fillId="16" borderId="23" xfId="0" applyFont="1" applyFill="1" applyBorder="1" applyAlignment="1" applyProtection="1">
      <alignment horizontal="right" vertical="center"/>
      <protection hidden="1"/>
    </xf>
    <xf numFmtId="164" fontId="7" fillId="16" borderId="23" xfId="0" applyNumberFormat="1" applyFont="1" applyFill="1" applyBorder="1" applyAlignment="1" applyProtection="1">
      <alignment vertical="center"/>
      <protection hidden="1"/>
    </xf>
    <xf numFmtId="0" fontId="7" fillId="16" borderId="24" xfId="0" applyFont="1" applyFill="1" applyBorder="1" applyAlignment="1" applyProtection="1">
      <alignment horizontal="left" vertical="center"/>
      <protection hidden="1"/>
    </xf>
    <xf numFmtId="0" fontId="7" fillId="16" borderId="24" xfId="0" applyFont="1" applyFill="1" applyBorder="1" applyAlignment="1" applyProtection="1">
      <alignment horizontal="center" vertical="center"/>
      <protection hidden="1"/>
    </xf>
    <xf numFmtId="164" fontId="18" fillId="16" borderId="24" xfId="0" applyNumberFormat="1"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protection hidden="1"/>
    </xf>
    <xf numFmtId="164" fontId="18" fillId="0" borderId="0" xfId="0" applyNumberFormat="1" applyFont="1" applyAlignment="1" applyProtection="1">
      <alignment horizontal="center" vertical="center"/>
      <protection hidden="1"/>
    </xf>
    <xf numFmtId="0" fontId="18" fillId="0" borderId="0" xfId="0" applyFont="1" applyAlignment="1" applyProtection="1">
      <alignment vertical="center"/>
      <protection hidden="1"/>
    </xf>
    <xf numFmtId="0" fontId="7" fillId="11" borderId="10" xfId="0" applyFont="1" applyFill="1" applyBorder="1" applyAlignment="1" applyProtection="1">
      <alignment vertical="center"/>
      <protection hidden="1"/>
    </xf>
    <xf numFmtId="0" fontId="7" fillId="11" borderId="23" xfId="0" applyFont="1" applyFill="1" applyBorder="1" applyAlignment="1" applyProtection="1">
      <alignment horizontal="center" vertical="center"/>
      <protection hidden="1"/>
    </xf>
    <xf numFmtId="0" fontId="31" fillId="11" borderId="23" xfId="0" applyFont="1" applyFill="1" applyBorder="1" applyAlignment="1" applyProtection="1">
      <alignment horizontal="right" vertical="center"/>
      <protection hidden="1"/>
    </xf>
    <xf numFmtId="164" fontId="7" fillId="11" borderId="23" xfId="0" applyNumberFormat="1" applyFont="1" applyFill="1" applyBorder="1" applyAlignment="1" applyProtection="1">
      <alignment vertical="center"/>
      <protection hidden="1"/>
    </xf>
    <xf numFmtId="0" fontId="7" fillId="8" borderId="10" xfId="0" applyFont="1" applyFill="1" applyBorder="1" applyAlignment="1" applyProtection="1">
      <alignment vertical="center"/>
      <protection hidden="1"/>
    </xf>
    <xf numFmtId="0" fontId="7" fillId="8" borderId="23" xfId="0" applyFont="1" applyFill="1" applyBorder="1" applyAlignment="1" applyProtection="1">
      <alignment horizontal="center" vertical="center"/>
      <protection hidden="1"/>
    </xf>
    <xf numFmtId="0" fontId="31" fillId="8" borderId="23" xfId="0" applyFont="1" applyFill="1" applyBorder="1" applyAlignment="1" applyProtection="1">
      <alignment horizontal="right" vertical="center"/>
      <protection hidden="1"/>
    </xf>
    <xf numFmtId="164" fontId="7" fillId="8" borderId="23" xfId="0" applyNumberFormat="1" applyFont="1" applyFill="1" applyBorder="1" applyAlignment="1" applyProtection="1">
      <alignment vertical="center"/>
      <protection hidden="1"/>
    </xf>
    <xf numFmtId="0" fontId="7" fillId="11" borderId="24" xfId="0" applyFont="1" applyFill="1" applyBorder="1" applyAlignment="1" applyProtection="1">
      <alignment horizontal="left" vertical="center"/>
      <protection hidden="1"/>
    </xf>
    <xf numFmtId="0" fontId="7" fillId="11" borderId="24" xfId="0" applyFont="1" applyFill="1" applyBorder="1" applyAlignment="1" applyProtection="1">
      <alignment horizontal="center" vertical="center"/>
      <protection hidden="1"/>
    </xf>
    <xf numFmtId="164" fontId="18" fillId="11" borderId="24" xfId="0" applyNumberFormat="1" applyFont="1" applyFill="1" applyBorder="1" applyAlignment="1" applyProtection="1">
      <alignment horizontal="center" vertical="center"/>
      <protection hidden="1"/>
    </xf>
    <xf numFmtId="0" fontId="7" fillId="8" borderId="24" xfId="0" applyFont="1" applyFill="1" applyBorder="1" applyAlignment="1" applyProtection="1">
      <alignment horizontal="left" vertical="center"/>
      <protection hidden="1"/>
    </xf>
    <xf numFmtId="0" fontId="7" fillId="8" borderId="24" xfId="0" applyFont="1" applyFill="1" applyBorder="1" applyAlignment="1" applyProtection="1">
      <alignment horizontal="center" vertical="center"/>
      <protection hidden="1"/>
    </xf>
    <xf numFmtId="164" fontId="18" fillId="8" borderId="24" xfId="0" applyNumberFormat="1" applyFont="1" applyFill="1" applyBorder="1" applyAlignment="1" applyProtection="1">
      <alignment horizontal="center" vertical="center"/>
      <protection hidden="1"/>
    </xf>
    <xf numFmtId="0" fontId="34" fillId="0" borderId="0" xfId="0" applyFont="1" applyAlignment="1" applyProtection="1">
      <alignment vertical="center"/>
      <protection hidden="1"/>
    </xf>
    <xf numFmtId="0" fontId="32" fillId="0" borderId="2" xfId="0" applyFont="1" applyBorder="1" applyAlignment="1" applyProtection="1">
      <alignment vertical="center" wrapText="1"/>
      <protection hidden="1"/>
    </xf>
    <xf numFmtId="0" fontId="32" fillId="0" borderId="5" xfId="0" applyFont="1" applyBorder="1" applyAlignment="1" applyProtection="1">
      <alignment vertical="center" wrapText="1"/>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164" fontId="7" fillId="0" borderId="0" xfId="0" applyNumberFormat="1" applyFont="1" applyAlignment="1" applyProtection="1">
      <alignment vertical="center"/>
      <protection hidden="1"/>
    </xf>
    <xf numFmtId="0" fontId="7" fillId="13" borderId="10" xfId="0" applyFont="1" applyFill="1" applyBorder="1" applyAlignment="1" applyProtection="1">
      <alignment vertical="center"/>
      <protection hidden="1"/>
    </xf>
    <xf numFmtId="0" fontId="7" fillId="13" borderId="23" xfId="0" applyFont="1" applyFill="1" applyBorder="1" applyAlignment="1" applyProtection="1">
      <alignment horizontal="center" vertical="center"/>
      <protection hidden="1"/>
    </xf>
    <xf numFmtId="0" fontId="31" fillId="13" borderId="23" xfId="0" applyFont="1" applyFill="1" applyBorder="1" applyAlignment="1" applyProtection="1">
      <alignment horizontal="right" vertical="center"/>
      <protection hidden="1"/>
    </xf>
    <xf numFmtId="164" fontId="7" fillId="13" borderId="23" xfId="0" applyNumberFormat="1" applyFont="1" applyFill="1" applyBorder="1" applyAlignment="1" applyProtection="1">
      <alignment vertical="center"/>
      <protection hidden="1"/>
    </xf>
    <xf numFmtId="164" fontId="31" fillId="13" borderId="11" xfId="0" quotePrefix="1" applyNumberFormat="1" applyFont="1" applyFill="1" applyBorder="1" applyAlignment="1" applyProtection="1">
      <alignment vertical="center"/>
      <protection hidden="1"/>
    </xf>
    <xf numFmtId="0" fontId="7" fillId="13" borderId="24" xfId="0" applyFont="1" applyFill="1" applyBorder="1" applyAlignment="1" applyProtection="1">
      <alignment horizontal="left" vertical="center"/>
      <protection hidden="1"/>
    </xf>
    <xf numFmtId="0" fontId="7" fillId="13" borderId="24" xfId="0" applyFont="1" applyFill="1" applyBorder="1" applyAlignment="1" applyProtection="1">
      <alignment horizontal="center" vertical="center"/>
      <protection hidden="1"/>
    </xf>
    <xf numFmtId="164" fontId="18" fillId="13" borderId="24" xfId="0" applyNumberFormat="1" applyFont="1" applyFill="1" applyBorder="1" applyAlignment="1" applyProtection="1">
      <alignment horizontal="center" vertical="center"/>
      <protection hidden="1"/>
    </xf>
    <xf numFmtId="0" fontId="7" fillId="21" borderId="10" xfId="0" applyFont="1" applyFill="1" applyBorder="1" applyAlignment="1" applyProtection="1">
      <alignment vertical="center"/>
      <protection hidden="1"/>
    </xf>
    <xf numFmtId="0" fontId="7" fillId="21" borderId="23" xfId="0" applyFont="1" applyFill="1" applyBorder="1" applyAlignment="1" applyProtection="1">
      <alignment horizontal="center" vertical="center"/>
      <protection hidden="1"/>
    </xf>
    <xf numFmtId="0" fontId="31" fillId="21" borderId="23" xfId="0" applyFont="1" applyFill="1" applyBorder="1" applyAlignment="1" applyProtection="1">
      <alignment horizontal="right" vertical="center"/>
      <protection hidden="1"/>
    </xf>
    <xf numFmtId="164" fontId="7" fillId="21" borderId="23" xfId="0" applyNumberFormat="1" applyFont="1" applyFill="1" applyBorder="1" applyAlignment="1" applyProtection="1">
      <alignment vertical="center"/>
      <protection hidden="1"/>
    </xf>
    <xf numFmtId="0" fontId="7" fillId="21" borderId="24" xfId="0" applyFont="1" applyFill="1" applyBorder="1" applyAlignment="1" applyProtection="1">
      <alignment horizontal="left" vertical="center"/>
      <protection hidden="1"/>
    </xf>
    <xf numFmtId="0" fontId="7" fillId="21" borderId="24" xfId="0" applyFont="1" applyFill="1" applyBorder="1" applyAlignment="1" applyProtection="1">
      <alignment horizontal="center" vertical="center"/>
      <protection hidden="1"/>
    </xf>
    <xf numFmtId="164" fontId="18" fillId="21" borderId="24" xfId="0" applyNumberFormat="1" applyFont="1" applyFill="1" applyBorder="1" applyAlignment="1" applyProtection="1">
      <alignment horizontal="center" vertical="center"/>
      <protection hidden="1"/>
    </xf>
    <xf numFmtId="0" fontId="32" fillId="0" borderId="4" xfId="0" applyFont="1" applyBorder="1" applyAlignment="1" applyProtection="1">
      <alignment horizontal="left" vertical="center"/>
      <protection locked="0"/>
    </xf>
    <xf numFmtId="0" fontId="32" fillId="0" borderId="4" xfId="0" applyFont="1" applyBorder="1" applyAlignment="1" applyProtection="1">
      <alignment horizontal="center" vertical="center"/>
      <protection locked="0"/>
    </xf>
    <xf numFmtId="0" fontId="32" fillId="0" borderId="4" xfId="0" applyFont="1" applyBorder="1" applyAlignment="1" applyProtection="1">
      <alignment vertical="center" wrapText="1"/>
      <protection locked="0"/>
    </xf>
    <xf numFmtId="164" fontId="32" fillId="0" borderId="4" xfId="1" applyNumberFormat="1" applyFont="1" applyBorder="1" applyAlignment="1" applyProtection="1">
      <alignment vertical="center"/>
      <protection locked="0"/>
    </xf>
    <xf numFmtId="164" fontId="32" fillId="0" borderId="4" xfId="0" applyNumberFormat="1" applyFont="1" applyBorder="1" applyAlignment="1" applyProtection="1">
      <alignment vertical="center"/>
      <protection locked="0"/>
    </xf>
    <xf numFmtId="0" fontId="32" fillId="0" borderId="2" xfId="0" applyFont="1" applyBorder="1" applyAlignment="1" applyProtection="1">
      <alignment horizontal="left" vertical="center"/>
      <protection locked="0"/>
    </xf>
    <xf numFmtId="0" fontId="32" fillId="0" borderId="2" xfId="0" applyFont="1" applyBorder="1" applyAlignment="1" applyProtection="1">
      <alignment horizontal="center" vertical="center"/>
      <protection locked="0"/>
    </xf>
    <xf numFmtId="0" fontId="32" fillId="0" borderId="2" xfId="0" applyFont="1" applyBorder="1" applyAlignment="1" applyProtection="1">
      <alignment vertical="center" wrapText="1"/>
      <protection locked="0"/>
    </xf>
    <xf numFmtId="164" fontId="32" fillId="0" borderId="2" xfId="0" applyNumberFormat="1" applyFont="1" applyBorder="1" applyAlignment="1" applyProtection="1">
      <alignment vertical="center"/>
      <protection locked="0"/>
    </xf>
    <xf numFmtId="164" fontId="32" fillId="0" borderId="5" xfId="0" applyNumberFormat="1" applyFont="1" applyBorder="1" applyAlignment="1" applyProtection="1">
      <alignment vertical="center"/>
      <protection locked="0"/>
    </xf>
    <xf numFmtId="164" fontId="35" fillId="20" borderId="25" xfId="0" applyNumberFormat="1" applyFont="1" applyFill="1" applyBorder="1" applyAlignment="1" applyProtection="1">
      <alignment vertical="center"/>
      <protection locked="0"/>
    </xf>
    <xf numFmtId="164" fontId="31" fillId="21" borderId="11" xfId="0" quotePrefix="1" applyNumberFormat="1" applyFont="1" applyFill="1" applyBorder="1" applyAlignment="1" applyProtection="1">
      <alignment vertical="center"/>
      <protection locked="0"/>
    </xf>
    <xf numFmtId="164" fontId="31" fillId="13" borderId="11" xfId="0" quotePrefix="1" applyNumberFormat="1" applyFont="1" applyFill="1" applyBorder="1" applyAlignment="1" applyProtection="1">
      <alignment vertical="center"/>
      <protection locked="0"/>
    </xf>
    <xf numFmtId="164" fontId="31" fillId="8" borderId="11" xfId="0" quotePrefix="1" applyNumberFormat="1" applyFont="1" applyFill="1" applyBorder="1" applyAlignment="1" applyProtection="1">
      <alignment vertical="center"/>
      <protection locked="0"/>
    </xf>
    <xf numFmtId="164" fontId="31" fillId="11" borderId="11" xfId="0" quotePrefix="1" applyNumberFormat="1" applyFont="1" applyFill="1" applyBorder="1" applyAlignment="1" applyProtection="1">
      <alignment vertical="center"/>
      <protection locked="0"/>
    </xf>
    <xf numFmtId="0" fontId="32" fillId="0" borderId="4" xfId="0" applyFont="1" applyBorder="1" applyAlignment="1" applyProtection="1">
      <alignment horizontal="left" vertical="center" wrapText="1"/>
      <protection locked="0"/>
    </xf>
    <xf numFmtId="0" fontId="32" fillId="0" borderId="4" xfId="0" applyFont="1" applyBorder="1" applyAlignment="1" applyProtection="1">
      <alignment horizontal="center" vertical="center" wrapText="1"/>
      <protection locked="0"/>
    </xf>
    <xf numFmtId="164" fontId="32" fillId="0" borderId="4" xfId="1" applyNumberFormat="1" applyFont="1" applyBorder="1" applyAlignment="1" applyProtection="1">
      <alignment vertical="center" wrapText="1"/>
      <protection locked="0"/>
    </xf>
    <xf numFmtId="164" fontId="32" fillId="0" borderId="4" xfId="0" applyNumberFormat="1" applyFont="1" applyBorder="1" applyAlignment="1" applyProtection="1">
      <alignment vertical="center" wrapText="1"/>
      <protection locked="0"/>
    </xf>
    <xf numFmtId="0" fontId="32" fillId="0" borderId="2" xfId="0" applyFont="1" applyBorder="1" applyAlignment="1" applyProtection="1">
      <alignment horizontal="left" vertical="center" wrapText="1"/>
      <protection locked="0"/>
    </xf>
    <xf numFmtId="0" fontId="32" fillId="0" borderId="2" xfId="0" applyFont="1" applyBorder="1" applyAlignment="1" applyProtection="1">
      <alignment horizontal="center" vertical="center" wrapText="1"/>
      <protection locked="0"/>
    </xf>
    <xf numFmtId="164" fontId="32" fillId="0" borderId="2" xfId="0" applyNumberFormat="1" applyFont="1" applyBorder="1" applyAlignment="1" applyProtection="1">
      <alignment vertical="center" wrapText="1"/>
      <protection locked="0"/>
    </xf>
    <xf numFmtId="0" fontId="32" fillId="0" borderId="5" xfId="0" applyFont="1" applyBorder="1" applyAlignment="1" applyProtection="1">
      <alignment horizontal="left" vertical="center" wrapText="1"/>
      <protection locked="0"/>
    </xf>
    <xf numFmtId="0" fontId="32" fillId="0" borderId="5" xfId="0" applyFont="1" applyBorder="1" applyAlignment="1" applyProtection="1">
      <alignment horizontal="center" vertical="center" wrapText="1"/>
      <protection locked="0"/>
    </xf>
    <xf numFmtId="164" fontId="32" fillId="0" borderId="5" xfId="0" applyNumberFormat="1" applyFont="1" applyBorder="1" applyAlignment="1" applyProtection="1">
      <alignment vertical="center" wrapText="1"/>
      <protection locked="0"/>
    </xf>
    <xf numFmtId="164" fontId="36" fillId="17" borderId="11" xfId="0" quotePrefix="1" applyNumberFormat="1" applyFont="1" applyFill="1" applyBorder="1" applyAlignment="1" applyProtection="1">
      <alignment vertical="center"/>
      <protection locked="0"/>
    </xf>
    <xf numFmtId="164" fontId="36" fillId="17" borderId="11" xfId="0" applyNumberFormat="1" applyFont="1" applyFill="1" applyBorder="1" applyAlignment="1" applyProtection="1">
      <alignment vertical="center"/>
      <protection locked="0"/>
    </xf>
    <xf numFmtId="164" fontId="31" fillId="22" borderId="11" xfId="0" quotePrefix="1" applyNumberFormat="1" applyFont="1" applyFill="1" applyBorder="1" applyAlignment="1" applyProtection="1">
      <alignment vertical="center"/>
      <protection locked="0"/>
    </xf>
    <xf numFmtId="164" fontId="31" fillId="22" borderId="11" xfId="0" applyNumberFormat="1" applyFont="1" applyFill="1" applyBorder="1" applyAlignment="1" applyProtection="1">
      <alignment vertical="center"/>
      <protection locked="0"/>
    </xf>
    <xf numFmtId="164" fontId="36" fillId="16" borderId="11" xfId="0" quotePrefix="1" applyNumberFormat="1" applyFont="1" applyFill="1" applyBorder="1" applyAlignment="1" applyProtection="1">
      <alignment vertical="center"/>
      <protection locked="0"/>
    </xf>
    <xf numFmtId="0" fontId="32" fillId="0" borderId="4" xfId="0" applyFont="1" applyBorder="1" applyAlignment="1" applyProtection="1">
      <alignment vertical="center"/>
      <protection locked="0"/>
    </xf>
    <xf numFmtId="164" fontId="32" fillId="0" borderId="16" xfId="1" applyNumberFormat="1" applyFont="1" applyBorder="1" applyAlignment="1" applyProtection="1">
      <alignment vertical="center"/>
      <protection locked="0"/>
    </xf>
    <xf numFmtId="164" fontId="32" fillId="0" borderId="9" xfId="0" applyNumberFormat="1" applyFont="1" applyBorder="1" applyAlignment="1" applyProtection="1">
      <alignment vertical="center"/>
      <protection locked="0"/>
    </xf>
    <xf numFmtId="0" fontId="32" fillId="0" borderId="5" xfId="0" applyFont="1" applyBorder="1" applyAlignment="1" applyProtection="1">
      <alignment horizontal="left" vertical="center"/>
      <protection locked="0"/>
    </xf>
    <xf numFmtId="0" fontId="32" fillId="0" borderId="5" xfId="0" applyFont="1" applyBorder="1" applyAlignment="1" applyProtection="1">
      <alignment horizontal="center" vertical="center"/>
      <protection locked="0"/>
    </xf>
    <xf numFmtId="164" fontId="32" fillId="0" borderId="11" xfId="0" applyNumberFormat="1" applyFont="1" applyBorder="1" applyAlignment="1" applyProtection="1">
      <alignment vertical="center"/>
      <protection locked="0"/>
    </xf>
    <xf numFmtId="164" fontId="36" fillId="18" borderId="11" xfId="0" quotePrefix="1" applyNumberFormat="1" applyFont="1" applyFill="1" applyBorder="1" applyAlignment="1" applyProtection="1">
      <alignment vertical="center"/>
      <protection locked="0"/>
    </xf>
    <xf numFmtId="164" fontId="41" fillId="0" borderId="17" xfId="0" applyNumberFormat="1" applyFont="1" applyBorder="1" applyAlignment="1" applyProtection="1">
      <alignment vertical="center"/>
      <protection locked="0"/>
    </xf>
    <xf numFmtId="164" fontId="42" fillId="20" borderId="17" xfId="0" applyNumberFormat="1" applyFont="1" applyFill="1" applyBorder="1" applyAlignment="1" applyProtection="1">
      <alignment vertical="center"/>
      <protection locked="0"/>
    </xf>
    <xf numFmtId="164" fontId="41" fillId="0" borderId="17" xfId="0" applyNumberFormat="1" applyFont="1" applyBorder="1" applyAlignment="1" applyProtection="1">
      <alignment horizontal="right" vertical="center"/>
      <protection locked="0"/>
    </xf>
    <xf numFmtId="164" fontId="42" fillId="23" borderId="28" xfId="0" applyNumberFormat="1" applyFont="1" applyFill="1" applyBorder="1" applyAlignment="1" applyProtection="1">
      <alignment vertical="center"/>
      <protection locked="0"/>
    </xf>
    <xf numFmtId="0" fontId="7" fillId="11" borderId="23" xfId="0" applyFont="1" applyFill="1" applyBorder="1" applyAlignment="1">
      <alignment vertical="center"/>
    </xf>
    <xf numFmtId="0" fontId="7" fillId="13" borderId="23" xfId="0" applyFont="1" applyFill="1" applyBorder="1" applyAlignment="1">
      <alignment vertical="center"/>
    </xf>
    <xf numFmtId="0" fontId="32" fillId="0" borderId="4" xfId="0" applyFont="1" applyBorder="1" applyAlignment="1" applyProtection="1">
      <alignment horizontal="left" vertical="center" wrapText="1"/>
      <protection hidden="1"/>
    </xf>
    <xf numFmtId="0" fontId="32" fillId="0" borderId="2" xfId="0" applyFont="1" applyBorder="1" applyAlignment="1" applyProtection="1">
      <alignment horizontal="left" vertical="center" wrapText="1"/>
      <protection hidden="1"/>
    </xf>
    <xf numFmtId="0" fontId="16" fillId="8" borderId="6" xfId="0" applyFont="1" applyFill="1" applyBorder="1" applyAlignment="1" applyProtection="1">
      <alignment horizontal="right" vertical="center"/>
      <protection hidden="1"/>
    </xf>
    <xf numFmtId="0" fontId="16" fillId="8" borderId="7" xfId="0" applyFont="1" applyFill="1" applyBorder="1" applyAlignment="1" applyProtection="1">
      <alignment horizontal="right" vertical="center"/>
      <protection hidden="1"/>
    </xf>
    <xf numFmtId="0" fontId="7" fillId="0" borderId="8" xfId="0" applyFont="1" applyBorder="1" applyAlignment="1" applyProtection="1">
      <alignment vertical="center" wrapText="1"/>
      <protection hidden="1"/>
    </xf>
    <xf numFmtId="0" fontId="7" fillId="0" borderId="9" xfId="0" applyFont="1" applyBorder="1" applyAlignment="1" applyProtection="1">
      <alignment vertical="center" wrapText="1"/>
      <protection hidden="1"/>
    </xf>
    <xf numFmtId="0" fontId="16" fillId="20" borderId="6" xfId="0" applyFont="1" applyFill="1" applyBorder="1" applyAlignment="1" applyProtection="1">
      <alignment horizontal="center" vertical="center"/>
      <protection hidden="1"/>
    </xf>
    <xf numFmtId="0" fontId="16" fillId="20" borderId="21" xfId="0" applyFont="1" applyFill="1" applyBorder="1" applyAlignment="1" applyProtection="1">
      <alignment horizontal="center" vertical="center"/>
      <protection hidden="1"/>
    </xf>
    <xf numFmtId="0" fontId="16" fillId="20" borderId="7" xfId="0" applyFont="1" applyFill="1" applyBorder="1" applyAlignment="1" applyProtection="1">
      <alignment horizontal="center" vertical="center"/>
      <protection hidden="1"/>
    </xf>
    <xf numFmtId="0" fontId="16" fillId="20" borderId="6" xfId="0" applyFont="1" applyFill="1" applyBorder="1" applyAlignment="1" applyProtection="1">
      <alignment horizontal="right" vertical="center"/>
      <protection hidden="1"/>
    </xf>
    <xf numFmtId="0" fontId="16" fillId="20" borderId="7" xfId="0" applyFont="1" applyFill="1" applyBorder="1" applyAlignment="1" applyProtection="1">
      <alignment horizontal="right" vertical="center"/>
      <protection hidden="1"/>
    </xf>
    <xf numFmtId="0" fontId="7" fillId="0" borderId="15" xfId="0" applyFont="1" applyBorder="1" applyAlignment="1" applyProtection="1">
      <alignment vertical="center"/>
      <protection hidden="1"/>
    </xf>
    <xf numFmtId="0" fontId="7" fillId="0" borderId="16" xfId="0" applyFont="1" applyBorder="1" applyAlignment="1" applyProtection="1">
      <alignment vertical="center"/>
      <protection hidden="1"/>
    </xf>
    <xf numFmtId="0" fontId="7" fillId="0" borderId="8" xfId="0" applyFont="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36" fillId="18" borderId="10" xfId="0" applyFont="1" applyFill="1" applyBorder="1" applyAlignment="1" applyProtection="1">
      <alignment horizontal="right" vertical="center"/>
      <protection hidden="1"/>
    </xf>
    <xf numFmtId="0" fontId="36" fillId="18" borderId="23" xfId="0" applyFont="1" applyFill="1" applyBorder="1" applyAlignment="1" applyProtection="1">
      <alignment horizontal="right" vertical="center"/>
      <protection hidden="1"/>
    </xf>
    <xf numFmtId="166" fontId="59" fillId="30" borderId="0" xfId="4" applyNumberFormat="1" applyFont="1" applyFill="1" applyAlignment="1" applyProtection="1">
      <alignment horizontal="left" wrapText="1"/>
      <protection hidden="1"/>
    </xf>
    <xf numFmtId="167" fontId="43" fillId="31" borderId="0" xfId="4" applyNumberFormat="1" applyFill="1" applyAlignment="1" applyProtection="1">
      <alignment horizontal="left"/>
      <protection hidden="1"/>
    </xf>
    <xf numFmtId="169" fontId="64" fillId="0" borderId="0" xfId="5" applyNumberFormat="1" applyFont="1" applyAlignment="1" applyProtection="1">
      <alignment horizontal="left" vertical="center"/>
      <protection hidden="1"/>
    </xf>
    <xf numFmtId="0" fontId="7" fillId="0" borderId="8" xfId="0" applyFont="1" applyBorder="1" applyAlignment="1">
      <alignment vertical="center" wrapText="1"/>
    </xf>
    <xf numFmtId="0" fontId="7" fillId="0" borderId="9" xfId="0" applyFont="1" applyBorder="1" applyAlignment="1">
      <alignment vertical="center" wrapText="1"/>
    </xf>
    <xf numFmtId="0" fontId="16" fillId="20" borderId="6" xfId="0" applyFont="1" applyFill="1" applyBorder="1" applyAlignment="1">
      <alignment horizontal="center" vertical="center"/>
    </xf>
    <xf numFmtId="0" fontId="16" fillId="20" borderId="21" xfId="0" applyFont="1" applyFill="1" applyBorder="1" applyAlignment="1">
      <alignment horizontal="center" vertical="center"/>
    </xf>
    <xf numFmtId="0" fontId="16" fillId="20" borderId="7" xfId="0" applyFont="1" applyFill="1" applyBorder="1" applyAlignment="1">
      <alignment horizontal="center" vertical="center"/>
    </xf>
    <xf numFmtId="0" fontId="16" fillId="20" borderId="6" xfId="0" applyFont="1" applyFill="1" applyBorder="1" applyAlignment="1">
      <alignment horizontal="right" vertical="center"/>
    </xf>
    <xf numFmtId="0" fontId="16" fillId="20" borderId="7" xfId="0" applyFont="1" applyFill="1" applyBorder="1" applyAlignment="1">
      <alignment horizontal="righ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164" fontId="7" fillId="9" borderId="0" xfId="0" applyNumberFormat="1" applyFont="1" applyFill="1" applyAlignment="1" applyProtection="1">
      <alignment horizontal="center" vertical="center"/>
      <protection hidden="1"/>
    </xf>
    <xf numFmtId="164" fontId="7" fillId="0" borderId="0" xfId="0" applyNumberFormat="1" applyFont="1" applyAlignment="1" applyProtection="1">
      <alignment horizontal="center" vertical="center"/>
      <protection hidden="1"/>
    </xf>
    <xf numFmtId="0" fontId="20" fillId="0" borderId="0" xfId="3" applyFont="1" applyAlignment="1" applyProtection="1">
      <alignment vertical="center"/>
      <protection hidden="1"/>
    </xf>
    <xf numFmtId="0" fontId="21" fillId="0" borderId="0" xfId="3" applyFont="1" applyAlignment="1" applyProtection="1">
      <alignment horizontal="right" vertical="center"/>
      <protection hidden="1"/>
    </xf>
    <xf numFmtId="0" fontId="21" fillId="2" borderId="0" xfId="3" applyFont="1" applyFill="1" applyAlignment="1" applyProtection="1">
      <alignment horizontal="right" vertical="center"/>
      <protection hidden="1"/>
    </xf>
    <xf numFmtId="0" fontId="7" fillId="0" borderId="0" xfId="0" applyFont="1" applyFill="1" applyAlignment="1" applyProtection="1">
      <alignment vertical="center"/>
      <protection hidden="1"/>
    </xf>
    <xf numFmtId="164" fontId="7" fillId="0" borderId="11" xfId="0" applyNumberFormat="1" applyFont="1" applyFill="1" applyBorder="1" applyAlignment="1" applyProtection="1">
      <alignment horizontal="center" vertical="center"/>
      <protection hidden="1"/>
    </xf>
    <xf numFmtId="164" fontId="7" fillId="0" borderId="13" xfId="0" applyNumberFormat="1" applyFont="1" applyFill="1" applyBorder="1" applyAlignment="1" applyProtection="1">
      <alignment horizontal="center" vertical="center"/>
      <protection hidden="1"/>
    </xf>
    <xf numFmtId="164" fontId="7" fillId="0" borderId="14" xfId="0" applyNumberFormat="1" applyFont="1" applyFill="1" applyBorder="1" applyAlignment="1" applyProtection="1">
      <alignment horizontal="center" vertical="center"/>
      <protection hidden="1"/>
    </xf>
    <xf numFmtId="164" fontId="7" fillId="0" borderId="14" xfId="0" applyNumberFormat="1" applyFont="1" applyFill="1" applyBorder="1" applyAlignment="1" applyProtection="1">
      <alignment horizontal="left" vertical="center"/>
      <protection hidden="1"/>
    </xf>
    <xf numFmtId="164" fontId="7" fillId="0" borderId="15" xfId="0" applyNumberFormat="1" applyFont="1" applyFill="1" applyBorder="1" applyAlignment="1" applyProtection="1">
      <alignment horizontal="center" vertical="center"/>
      <protection hidden="1"/>
    </xf>
    <xf numFmtId="164" fontId="7" fillId="0" borderId="16" xfId="0" applyNumberFormat="1" applyFont="1" applyFill="1" applyBorder="1" applyAlignment="1" applyProtection="1">
      <alignment horizontal="center" vertical="center"/>
      <protection hidden="1"/>
    </xf>
    <xf numFmtId="0" fontId="18" fillId="0" borderId="15" xfId="0" applyFont="1" applyFill="1" applyBorder="1" applyAlignment="1" applyProtection="1">
      <alignment horizontal="left" vertical="center"/>
      <protection hidden="1"/>
    </xf>
    <xf numFmtId="0" fontId="7" fillId="0" borderId="17" xfId="0" applyFont="1" applyFill="1" applyBorder="1" applyAlignment="1" applyProtection="1">
      <alignment horizontal="left" vertical="center"/>
      <protection hidden="1"/>
    </xf>
    <xf numFmtId="0" fontId="7" fillId="0" borderId="17" xfId="0" applyFont="1" applyFill="1" applyBorder="1" applyAlignment="1" applyProtection="1">
      <alignment vertical="center"/>
      <protection hidden="1"/>
    </xf>
    <xf numFmtId="164" fontId="7" fillId="0" borderId="17" xfId="0" applyNumberFormat="1" applyFont="1" applyFill="1" applyBorder="1" applyAlignment="1" applyProtection="1">
      <alignment horizontal="right" vertical="center"/>
      <protection hidden="1"/>
    </xf>
    <xf numFmtId="0" fontId="7" fillId="0" borderId="2" xfId="0" applyFont="1" applyFill="1" applyBorder="1" applyAlignment="1" applyProtection="1">
      <alignment horizontal="left" vertical="center"/>
      <protection hidden="1"/>
    </xf>
    <xf numFmtId="16" fontId="7" fillId="0" borderId="2" xfId="0" applyNumberFormat="1" applyFont="1" applyFill="1" applyBorder="1" applyAlignment="1" applyProtection="1">
      <alignment horizontal="left" vertical="center"/>
      <protection hidden="1"/>
    </xf>
    <xf numFmtId="0" fontId="18" fillId="0" borderId="8" xfId="0" applyFont="1" applyFill="1" applyBorder="1" applyAlignment="1" applyProtection="1">
      <alignment horizontal="left" vertical="center"/>
      <protection hidden="1"/>
    </xf>
    <xf numFmtId="0" fontId="7" fillId="0" borderId="18" xfId="0" applyFont="1" applyFill="1" applyBorder="1" applyAlignment="1" applyProtection="1">
      <alignment horizontal="left" vertical="center"/>
      <protection hidden="1"/>
    </xf>
    <xf numFmtId="0" fontId="7" fillId="0" borderId="18" xfId="0" applyFont="1" applyFill="1" applyBorder="1" applyAlignment="1" applyProtection="1">
      <alignment vertical="center"/>
      <protection hidden="1"/>
    </xf>
    <xf numFmtId="164" fontId="7" fillId="0" borderId="18" xfId="0" applyNumberFormat="1" applyFont="1" applyFill="1" applyBorder="1" applyAlignment="1" applyProtection="1">
      <alignment horizontal="right" vertical="center"/>
      <protection hidden="1"/>
    </xf>
    <xf numFmtId="0" fontId="7" fillId="0" borderId="5" xfId="0" applyFont="1" applyFill="1" applyBorder="1" applyAlignment="1" applyProtection="1">
      <alignment horizontal="left" vertical="center"/>
      <protection hidden="1"/>
    </xf>
    <xf numFmtId="0" fontId="7" fillId="0" borderId="2" xfId="0" applyFont="1" applyFill="1" applyBorder="1" applyAlignment="1" applyProtection="1">
      <alignment vertical="center"/>
      <protection hidden="1"/>
    </xf>
    <xf numFmtId="164" fontId="7" fillId="0" borderId="2" xfId="0" applyNumberFormat="1" applyFont="1" applyFill="1" applyBorder="1" applyAlignment="1" applyProtection="1">
      <alignment horizontal="right" vertical="center"/>
      <protection hidden="1"/>
    </xf>
    <xf numFmtId="0" fontId="7" fillId="0" borderId="5" xfId="0" applyFont="1" applyFill="1" applyBorder="1" applyAlignment="1" applyProtection="1">
      <alignment vertical="center" wrapText="1"/>
      <protection hidden="1"/>
    </xf>
    <xf numFmtId="0" fontId="7" fillId="0" borderId="2" xfId="0" applyFont="1" applyFill="1" applyBorder="1" applyAlignment="1" applyProtection="1">
      <alignment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7" fillId="0" borderId="8" xfId="0" applyFont="1" applyFill="1" applyBorder="1" applyAlignment="1" applyProtection="1">
      <alignment vertical="center"/>
      <protection hidden="1"/>
    </xf>
    <xf numFmtId="0" fontId="7" fillId="0" borderId="9"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164" fontId="7" fillId="0" borderId="5" xfId="0" applyNumberFormat="1" applyFont="1" applyFill="1" applyBorder="1" applyAlignment="1" applyProtection="1">
      <alignment horizontal="right" vertical="center"/>
      <protection hidden="1"/>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12" xfId="0" applyFont="1" applyFill="1" applyBorder="1" applyAlignment="1" applyProtection="1">
      <alignment horizontal="left" vertical="center"/>
      <protection hidden="1"/>
    </xf>
    <xf numFmtId="0" fontId="7" fillId="0" borderId="12" xfId="0" applyFont="1" applyFill="1" applyBorder="1" applyAlignment="1" applyProtection="1">
      <alignment vertical="center"/>
      <protection hidden="1"/>
    </xf>
    <xf numFmtId="164" fontId="7" fillId="0" borderId="12" xfId="0" applyNumberFormat="1" applyFont="1" applyFill="1" applyBorder="1" applyAlignment="1" applyProtection="1">
      <alignment horizontal="right" vertical="center"/>
      <protection hidden="1"/>
    </xf>
    <xf numFmtId="0" fontId="7" fillId="0" borderId="13"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7" fillId="0" borderId="4" xfId="0" applyFont="1" applyFill="1" applyBorder="1" applyAlignment="1" applyProtection="1">
      <alignment horizontal="left" vertical="center"/>
      <protection hidden="1"/>
    </xf>
    <xf numFmtId="0" fontId="7" fillId="0" borderId="4" xfId="0" applyFont="1" applyFill="1" applyBorder="1" applyAlignment="1" applyProtection="1">
      <alignment vertical="center"/>
      <protection hidden="1"/>
    </xf>
    <xf numFmtId="164" fontId="7" fillId="0" borderId="4" xfId="0" applyNumberFormat="1" applyFont="1" applyFill="1" applyBorder="1" applyAlignment="1" applyProtection="1">
      <alignment horizontal="right" vertical="center"/>
      <protection hidden="1"/>
    </xf>
    <xf numFmtId="0" fontId="7" fillId="0" borderId="15" xfId="0" applyFont="1" applyFill="1" applyBorder="1" applyAlignment="1" applyProtection="1">
      <alignment vertical="center"/>
      <protection hidden="1"/>
    </xf>
    <xf numFmtId="0" fontId="7" fillId="0" borderId="16" xfId="0" applyFont="1" applyFill="1" applyBorder="1" applyAlignment="1" applyProtection="1">
      <alignment vertical="center"/>
      <protection hidden="1"/>
    </xf>
    <xf numFmtId="0" fontId="28" fillId="33" borderId="8" xfId="0" applyFont="1" applyFill="1" applyBorder="1" applyAlignment="1" applyProtection="1">
      <alignment vertical="center"/>
      <protection locked="0"/>
    </xf>
    <xf numFmtId="0" fontId="28" fillId="33" borderId="10" xfId="0" applyFont="1" applyFill="1" applyBorder="1" applyAlignment="1" applyProtection="1">
      <alignment vertical="center"/>
      <protection locked="0"/>
    </xf>
    <xf numFmtId="0" fontId="29" fillId="33" borderId="8" xfId="0" applyFont="1" applyFill="1" applyBorder="1" applyAlignment="1" applyProtection="1">
      <alignment vertical="center"/>
      <protection locked="0"/>
    </xf>
    <xf numFmtId="0" fontId="29" fillId="33" borderId="13" xfId="0" applyFont="1" applyFill="1" applyBorder="1" applyAlignment="1" applyProtection="1">
      <alignment vertical="center"/>
      <protection locked="0"/>
    </xf>
    <xf numFmtId="0" fontId="29" fillId="33" borderId="15" xfId="0" applyFont="1" applyFill="1" applyBorder="1" applyAlignment="1" applyProtection="1">
      <alignment vertical="center"/>
      <protection locked="0"/>
    </xf>
    <xf numFmtId="0" fontId="29" fillId="33" borderId="10" xfId="0" applyFont="1" applyFill="1" applyBorder="1" applyAlignment="1" applyProtection="1">
      <alignment vertical="center"/>
      <protection locked="0"/>
    </xf>
    <xf numFmtId="0" fontId="29" fillId="33" borderId="23" xfId="0" applyFont="1" applyFill="1" applyBorder="1" applyAlignment="1" applyProtection="1">
      <alignment vertical="center"/>
      <protection locked="0"/>
    </xf>
  </cellXfs>
  <cellStyles count="6">
    <cellStyle name="D-Copyright" xfId="3" xr:uid="{00000000-0005-0000-0000-000000000000}"/>
    <cellStyle name="Komma" xfId="1" builtinId="3"/>
    <cellStyle name="Standard" xfId="0" builtinId="0"/>
    <cellStyle name="Standard 4" xfId="4" xr:uid="{00000000-0005-0000-0000-000003000000}"/>
    <cellStyle name="Standard_mkk für plare neu" xfId="2" xr:uid="{00000000-0005-0000-0000-000004000000}"/>
    <cellStyle name="Standard_Modell VK-Wirtschaftsduengung" xfId="5" xr:uid="{00000000-0005-0000-0000-000005000000}"/>
  </cellStyles>
  <dxfs count="11">
    <dxf>
      <font>
        <color theme="0"/>
      </font>
      <fill>
        <patternFill>
          <bgColor rgb="FF7DB0DF"/>
        </patternFill>
      </fill>
      <border>
        <vertical/>
        <horizontal/>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fill>
        <patternFill patternType="none">
          <bgColor indexed="65"/>
        </patternFill>
      </fill>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5</xdr:col>
      <xdr:colOff>176419</xdr:colOff>
      <xdr:row>33</xdr:row>
      <xdr:rowOff>58392</xdr:rowOff>
    </xdr:from>
    <xdr:to>
      <xdr:col>5</xdr:col>
      <xdr:colOff>252619</xdr:colOff>
      <xdr:row>35</xdr:row>
      <xdr:rowOff>77441</xdr:rowOff>
    </xdr:to>
    <xdr:sp macro="" textlink="">
      <xdr:nvSpPr>
        <xdr:cNvPr id="2" name="AutoForm 2">
          <a:extLst>
            <a:ext uri="{FF2B5EF4-FFF2-40B4-BE49-F238E27FC236}">
              <a16:creationId xmlns:a16="http://schemas.microsoft.com/office/drawing/2014/main" id="{A02390D3-5E0C-4A97-827A-F16A1767847C}"/>
            </a:ext>
          </a:extLst>
        </xdr:cNvPr>
        <xdr:cNvSpPr>
          <a:spLocks/>
        </xdr:cNvSpPr>
      </xdr:nvSpPr>
      <xdr:spPr bwMode="auto">
        <a:xfrm>
          <a:off x="3814969" y="7821267"/>
          <a:ext cx="76200" cy="514349"/>
        </a:xfrm>
        <a:prstGeom prst="rightBrace">
          <a:avLst>
            <a:gd name="adj1" fmla="val 2345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176419</xdr:colOff>
      <xdr:row>29</xdr:row>
      <xdr:rowOff>58392</xdr:rowOff>
    </xdr:from>
    <xdr:to>
      <xdr:col>4</xdr:col>
      <xdr:colOff>252619</xdr:colOff>
      <xdr:row>31</xdr:row>
      <xdr:rowOff>77441</xdr:rowOff>
    </xdr:to>
    <xdr:sp macro="" textlink="">
      <xdr:nvSpPr>
        <xdr:cNvPr id="2" name="AutoForm 2">
          <a:extLst>
            <a:ext uri="{FF2B5EF4-FFF2-40B4-BE49-F238E27FC236}">
              <a16:creationId xmlns:a16="http://schemas.microsoft.com/office/drawing/2014/main" id="{A6AE11D1-D605-4402-A2D5-FF7586A6DDBB}"/>
            </a:ext>
          </a:extLst>
        </xdr:cNvPr>
        <xdr:cNvSpPr>
          <a:spLocks/>
        </xdr:cNvSpPr>
      </xdr:nvSpPr>
      <xdr:spPr bwMode="auto">
        <a:xfrm>
          <a:off x="2500519" y="6744942"/>
          <a:ext cx="76200" cy="285749"/>
        </a:xfrm>
        <a:prstGeom prst="rightBrace">
          <a:avLst>
            <a:gd name="adj1" fmla="val 2345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0</xdr:colOff>
          <xdr:row>2</xdr:row>
          <xdr:rowOff>1</xdr:rowOff>
        </xdr:from>
        <xdr:to>
          <xdr:col>19</xdr:col>
          <xdr:colOff>619125</xdr:colOff>
          <xdr:row>48</xdr:row>
          <xdr:rowOff>156732</xdr:rowOff>
        </xdr:to>
        <xdr:pic>
          <xdr:nvPicPr>
            <xdr:cNvPr id="3" name="Grafik 2">
              <a:extLst>
                <a:ext uri="{FF2B5EF4-FFF2-40B4-BE49-F238E27FC236}">
                  <a16:creationId xmlns:a16="http://schemas.microsoft.com/office/drawing/2014/main" id="{D1B1BF18-A74D-4162-A198-1A860B50FEF5}"/>
                </a:ext>
              </a:extLst>
            </xdr:cNvPr>
            <xdr:cNvPicPr>
              <a:picLocks noChangeArrowheads="1"/>
              <a:extLst>
                <a:ext uri="{84589F7E-364E-4C9E-8A38-B11213B215E9}">
                  <a14:cameraTool cellRange="Kontenplan!$C$3:$G$63" spid="_x0000_s4219"/>
                </a:ext>
              </a:extLst>
            </xdr:cNvPicPr>
          </xdr:nvPicPr>
          <xdr:blipFill>
            <a:blip xmlns:r="http://schemas.openxmlformats.org/officeDocument/2006/relationships" r:embed="rId1"/>
            <a:srcRect/>
            <a:stretch>
              <a:fillRect/>
            </a:stretch>
          </xdr:blipFill>
          <xdr:spPr bwMode="auto">
            <a:xfrm>
              <a:off x="6391275" y="723901"/>
              <a:ext cx="6715125" cy="9891281"/>
            </a:xfrm>
            <a:prstGeom prst="rect">
              <a:avLst/>
            </a:prstGeom>
            <a:solidFill>
              <a:schemeClr val="bg1"/>
            </a:solidFill>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2</xdr:row>
          <xdr:rowOff>0</xdr:rowOff>
        </xdr:from>
        <xdr:to>
          <xdr:col>27</xdr:col>
          <xdr:colOff>679040</xdr:colOff>
          <xdr:row>37</xdr:row>
          <xdr:rowOff>5039</xdr:rowOff>
        </xdr:to>
        <xdr:pic>
          <xdr:nvPicPr>
            <xdr:cNvPr id="2" name="Grafik 1">
              <a:extLst>
                <a:ext uri="{FF2B5EF4-FFF2-40B4-BE49-F238E27FC236}">
                  <a16:creationId xmlns:a16="http://schemas.microsoft.com/office/drawing/2014/main" id="{19B6A41C-CB49-4AB4-AAF2-36DEB557396F}"/>
                </a:ext>
              </a:extLst>
            </xdr:cNvPr>
            <xdr:cNvPicPr>
              <a:picLocks noChangeAspect="1" noChangeArrowheads="1"/>
              <a:extLst>
                <a:ext uri="{84589F7E-364E-4C9E-8A38-B11213B215E9}">
                  <a14:cameraTool cellRange="'B-BF'!$A$3:$J$42" spid="_x0000_s5234"/>
                </a:ext>
              </a:extLst>
            </xdr:cNvPicPr>
          </xdr:nvPicPr>
          <xdr:blipFill>
            <a:blip xmlns:r="http://schemas.openxmlformats.org/officeDocument/2006/relationships" r:embed="rId1"/>
            <a:srcRect/>
            <a:stretch>
              <a:fillRect/>
            </a:stretch>
          </xdr:blipFill>
          <xdr:spPr bwMode="auto">
            <a:xfrm>
              <a:off x="11725275" y="723900"/>
              <a:ext cx="6013040" cy="8329889"/>
            </a:xfrm>
            <a:prstGeom prst="rect">
              <a:avLst/>
            </a:prstGeom>
            <a:solidFill>
              <a:schemeClr val="bg1"/>
            </a:solidFill>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xdr:colOff>
          <xdr:row>2</xdr:row>
          <xdr:rowOff>0</xdr:rowOff>
        </xdr:from>
        <xdr:to>
          <xdr:col>26</xdr:col>
          <xdr:colOff>679041</xdr:colOff>
          <xdr:row>37</xdr:row>
          <xdr:rowOff>5039</xdr:rowOff>
        </xdr:to>
        <xdr:pic>
          <xdr:nvPicPr>
            <xdr:cNvPr id="2" name="Grafik 1">
              <a:extLst>
                <a:ext uri="{FF2B5EF4-FFF2-40B4-BE49-F238E27FC236}">
                  <a16:creationId xmlns:a16="http://schemas.microsoft.com/office/drawing/2014/main" id="{57BE520F-3F2D-46EB-9475-9DF2CD04C2B6}"/>
                </a:ext>
              </a:extLst>
            </xdr:cNvPr>
            <xdr:cNvPicPr>
              <a:picLocks noChangeArrowheads="1"/>
              <a:extLst>
                <a:ext uri="{84589F7E-364E-4C9E-8A38-B11213B215E9}">
                  <a14:cameraTool cellRange="'B-BF'!$A$3:$J$42" spid="_x0000_s6252"/>
                </a:ext>
              </a:extLst>
            </xdr:cNvPicPr>
          </xdr:nvPicPr>
          <xdr:blipFill>
            <a:blip xmlns:r="http://schemas.openxmlformats.org/officeDocument/2006/relationships" r:embed="rId1"/>
            <a:srcRect/>
            <a:stretch>
              <a:fillRect/>
            </a:stretch>
          </xdr:blipFill>
          <xdr:spPr bwMode="auto">
            <a:xfrm>
              <a:off x="11725276" y="723900"/>
              <a:ext cx="6013040" cy="8329889"/>
            </a:xfrm>
            <a:prstGeom prst="rect">
              <a:avLst/>
            </a:prstGeom>
            <a:solidFill>
              <a:schemeClr val="bg1"/>
            </a:solidFill>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xdr:colOff>
          <xdr:row>2</xdr:row>
          <xdr:rowOff>0</xdr:rowOff>
        </xdr:from>
        <xdr:to>
          <xdr:col>26</xdr:col>
          <xdr:colOff>679041</xdr:colOff>
          <xdr:row>37</xdr:row>
          <xdr:rowOff>90764</xdr:rowOff>
        </xdr:to>
        <xdr:pic>
          <xdr:nvPicPr>
            <xdr:cNvPr id="2" name="Grafik 1">
              <a:extLst>
                <a:ext uri="{FF2B5EF4-FFF2-40B4-BE49-F238E27FC236}">
                  <a16:creationId xmlns:a16="http://schemas.microsoft.com/office/drawing/2014/main" id="{AA659179-A4FE-4F30-BEA3-782C3B503398}"/>
                </a:ext>
              </a:extLst>
            </xdr:cNvPr>
            <xdr:cNvPicPr>
              <a:picLocks noChangeArrowheads="1"/>
              <a:extLst>
                <a:ext uri="{84589F7E-364E-4C9E-8A38-B11213B215E9}">
                  <a14:cameraTool cellRange="'B-BF'!$A$3:$J$42" spid="_x0000_s7276"/>
                </a:ext>
              </a:extLst>
            </xdr:cNvPicPr>
          </xdr:nvPicPr>
          <xdr:blipFill>
            <a:blip xmlns:r="http://schemas.openxmlformats.org/officeDocument/2006/relationships" r:embed="rId1"/>
            <a:srcRect/>
            <a:stretch>
              <a:fillRect/>
            </a:stretch>
          </xdr:blipFill>
          <xdr:spPr bwMode="auto">
            <a:xfrm>
              <a:off x="11725276" y="723900"/>
              <a:ext cx="6013040" cy="8329889"/>
            </a:xfrm>
            <a:prstGeom prst="rect">
              <a:avLst/>
            </a:prstGeom>
            <a:solidFill>
              <a:schemeClr val="bg1"/>
            </a:solidFill>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159855</xdr:colOff>
      <xdr:row>29</xdr:row>
      <xdr:rowOff>41828</xdr:rowOff>
    </xdr:from>
    <xdr:to>
      <xdr:col>4</xdr:col>
      <xdr:colOff>236055</xdr:colOff>
      <xdr:row>31</xdr:row>
      <xdr:rowOff>60878</xdr:rowOff>
    </xdr:to>
    <xdr:sp macro="" textlink="">
      <xdr:nvSpPr>
        <xdr:cNvPr id="2" name="AutoForm 2">
          <a:extLst>
            <a:ext uri="{FF2B5EF4-FFF2-40B4-BE49-F238E27FC236}">
              <a16:creationId xmlns:a16="http://schemas.microsoft.com/office/drawing/2014/main" id="{6061BD64-2A9A-4D5D-ADDD-D16909006CE1}"/>
            </a:ext>
          </a:extLst>
        </xdr:cNvPr>
        <xdr:cNvSpPr>
          <a:spLocks/>
        </xdr:cNvSpPr>
      </xdr:nvSpPr>
      <xdr:spPr bwMode="auto">
        <a:xfrm>
          <a:off x="2483955" y="6728378"/>
          <a:ext cx="76200" cy="285750"/>
        </a:xfrm>
        <a:prstGeom prst="rightBrace">
          <a:avLst>
            <a:gd name="adj1" fmla="val 2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AQ113"/>
  <sheetViews>
    <sheetView showGridLines="0" showRowColHeaders="0" workbookViewId="0">
      <pane ySplit="5" topLeftCell="A6" activePane="bottomLeft" state="frozen"/>
      <selection pane="bottomLeft" activeCell="E4" sqref="E4"/>
    </sheetView>
  </sheetViews>
  <sheetFormatPr baseColWidth="10" defaultColWidth="0" defaultRowHeight="15" zeroHeight="1" x14ac:dyDescent="0.25"/>
  <cols>
    <col min="1" max="1" width="4.7109375" style="95" customWidth="1"/>
    <col min="2" max="2" width="3.7109375" style="95" customWidth="1"/>
    <col min="3" max="3" width="4.7109375" style="95" customWidth="1"/>
    <col min="4" max="4" width="30.7109375" style="95" customWidth="1"/>
    <col min="5" max="5" width="10.7109375" style="95" customWidth="1"/>
    <col min="6" max="6" width="4.7109375" style="95" customWidth="1"/>
    <col min="7" max="7" width="14.7109375" style="95" customWidth="1"/>
    <col min="8" max="8" width="40.7109375" style="95" customWidth="1"/>
    <col min="9" max="9" width="0.85546875" style="95" customWidth="1"/>
    <col min="10" max="10" width="11.42578125" style="95" customWidth="1"/>
    <col min="11" max="11" width="2.7109375" style="95" customWidth="1"/>
    <col min="12" max="16384" width="11.42578125" style="95" hidden="1"/>
  </cols>
  <sheetData>
    <row r="1" spans="1:43" s="6" customFormat="1" ht="27" customHeight="1" x14ac:dyDescent="0.25">
      <c r="A1" s="1" t="s">
        <v>0</v>
      </c>
      <c r="B1" s="2"/>
      <c r="C1" s="3"/>
      <c r="D1" s="3"/>
      <c r="E1" s="3"/>
      <c r="F1" s="3"/>
      <c r="G1" s="3"/>
      <c r="H1" s="3"/>
      <c r="I1" s="3"/>
      <c r="J1" s="4"/>
      <c r="K1" s="5"/>
      <c r="L1" s="95"/>
    </row>
    <row r="2" spans="1:43" s="6" customFormat="1" ht="15" customHeight="1" x14ac:dyDescent="0.25">
      <c r="A2" s="7" t="s">
        <v>1</v>
      </c>
      <c r="B2" s="2"/>
      <c r="C2" s="3"/>
      <c r="D2" s="3"/>
      <c r="E2" s="3"/>
      <c r="F2" s="3"/>
      <c r="G2" s="3"/>
      <c r="H2" s="3"/>
      <c r="I2" s="3"/>
      <c r="J2" s="4"/>
      <c r="K2" s="5"/>
      <c r="L2" s="95"/>
    </row>
    <row r="3" spans="1:43" s="6" customFormat="1" ht="17.100000000000001" customHeight="1" x14ac:dyDescent="0.25">
      <c r="B3" s="8"/>
      <c r="C3" s="8"/>
      <c r="E3" s="9"/>
      <c r="I3" s="10"/>
      <c r="J3" s="4" t="s">
        <v>2</v>
      </c>
      <c r="K3" s="5"/>
      <c r="L3" s="95"/>
      <c r="M3" s="11" t="s">
        <v>2</v>
      </c>
      <c r="N3" s="11">
        <v>1</v>
      </c>
      <c r="O3" s="11">
        <v>2</v>
      </c>
      <c r="P3" s="11">
        <v>3</v>
      </c>
      <c r="Q3" s="11">
        <v>4</v>
      </c>
      <c r="R3" s="11">
        <v>5</v>
      </c>
      <c r="S3" s="11">
        <v>6</v>
      </c>
      <c r="T3" s="11">
        <v>7</v>
      </c>
      <c r="U3" s="11">
        <v>8</v>
      </c>
      <c r="V3" s="11">
        <v>9</v>
      </c>
      <c r="W3" s="11">
        <v>10</v>
      </c>
      <c r="X3" s="11">
        <v>11</v>
      </c>
      <c r="Y3" s="11">
        <v>12</v>
      </c>
      <c r="Z3" s="11">
        <v>13</v>
      </c>
      <c r="AA3" s="11">
        <v>14</v>
      </c>
      <c r="AB3" s="11">
        <v>15</v>
      </c>
      <c r="AC3" s="11">
        <v>16</v>
      </c>
      <c r="AD3" s="11">
        <v>17</v>
      </c>
      <c r="AE3" s="11">
        <v>18</v>
      </c>
      <c r="AF3" s="11">
        <v>19</v>
      </c>
      <c r="AG3" s="11">
        <v>20</v>
      </c>
      <c r="AH3" s="11">
        <v>21</v>
      </c>
      <c r="AI3" s="11">
        <v>22</v>
      </c>
      <c r="AJ3" s="11">
        <v>23</v>
      </c>
      <c r="AK3" s="11">
        <v>24</v>
      </c>
      <c r="AL3" s="11">
        <v>25</v>
      </c>
      <c r="AM3" s="11">
        <v>26</v>
      </c>
      <c r="AN3" s="11">
        <v>27</v>
      </c>
      <c r="AO3" s="11">
        <v>28</v>
      </c>
      <c r="AP3" s="11">
        <v>29</v>
      </c>
      <c r="AQ3" s="11">
        <v>30</v>
      </c>
    </row>
    <row r="4" spans="1:43" s="6" customFormat="1" ht="17.100000000000001" customHeight="1" x14ac:dyDescent="0.25">
      <c r="B4" s="12" t="s">
        <v>3</v>
      </c>
      <c r="C4" s="8"/>
      <c r="E4" s="13">
        <v>3</v>
      </c>
      <c r="I4" s="10"/>
      <c r="J4" s="14" t="s">
        <v>4</v>
      </c>
      <c r="K4" s="5"/>
      <c r="L4" s="95"/>
      <c r="M4" s="15" t="s">
        <v>5</v>
      </c>
      <c r="N4" s="15" t="s">
        <v>6</v>
      </c>
      <c r="O4" s="15">
        <v>2.1000000000000001E-2</v>
      </c>
      <c r="P4" s="15">
        <v>1.2E-2</v>
      </c>
      <c r="Q4" s="15">
        <v>1.4999999999999999E-2</v>
      </c>
      <c r="R4" s="15">
        <v>1.4E-2</v>
      </c>
      <c r="S4" s="15">
        <v>0.02</v>
      </c>
      <c r="T4" s="15">
        <v>1.9E-2</v>
      </c>
      <c r="U4" s="15">
        <v>1.7999999999999999E-2</v>
      </c>
      <c r="V4" s="15">
        <v>1.7000000000000001E-2</v>
      </c>
      <c r="W4" s="15">
        <v>1.2999999999999999E-2</v>
      </c>
      <c r="X4" s="15">
        <v>2.4E-2</v>
      </c>
      <c r="Y4" s="15">
        <v>2.3E-2</v>
      </c>
      <c r="Z4" s="15">
        <v>1.6E-2</v>
      </c>
      <c r="AA4" s="15">
        <v>2.1999999999999999E-2</v>
      </c>
      <c r="AB4" s="15">
        <v>2.5000000000000001E-2</v>
      </c>
      <c r="AC4" s="15">
        <v>3.1E-2</v>
      </c>
      <c r="AD4" s="15">
        <v>2.7E-2</v>
      </c>
      <c r="AE4" s="15">
        <v>1.95E-2</v>
      </c>
      <c r="AF4" s="15">
        <v>2.5000000000000001E-2</v>
      </c>
      <c r="AG4" s="15">
        <v>3.4000000000000002E-2</v>
      </c>
      <c r="AH4" s="15">
        <v>2.4799999999999999E-2</v>
      </c>
      <c r="AI4" s="15">
        <v>1.9800000000000002E-2</v>
      </c>
      <c r="AJ4" s="15">
        <v>1.7500000000000002E-2</v>
      </c>
      <c r="AK4" s="15">
        <v>1.8200000000000001E-2</v>
      </c>
      <c r="AL4" s="15">
        <v>2.52E-2</v>
      </c>
      <c r="AM4" s="15">
        <v>3.15E-2</v>
      </c>
      <c r="AN4" s="15">
        <v>3.2199999999999999E-2</v>
      </c>
      <c r="AO4" s="15">
        <v>2.8799999999999999E-2</v>
      </c>
      <c r="AP4" s="15">
        <v>2.7400000000000001E-2</v>
      </c>
      <c r="AQ4" s="15">
        <v>2.3599999999999999E-2</v>
      </c>
    </row>
    <row r="5" spans="1:43" s="6" customFormat="1" ht="9.9499999999999993" customHeight="1" x14ac:dyDescent="0.25">
      <c r="B5" s="8"/>
      <c r="C5" s="8"/>
      <c r="E5" s="9"/>
      <c r="I5" s="10"/>
      <c r="J5" s="14" t="s">
        <v>7</v>
      </c>
      <c r="K5" s="5"/>
      <c r="L5" s="95"/>
    </row>
    <row r="6" spans="1:43" s="6" customFormat="1" ht="15" customHeight="1" x14ac:dyDescent="0.25">
      <c r="A6" s="5"/>
      <c r="B6" s="16"/>
      <c r="C6" s="16"/>
      <c r="D6" s="5"/>
      <c r="E6" s="17"/>
      <c r="F6" s="5"/>
      <c r="G6" s="5"/>
      <c r="H6" s="5"/>
      <c r="I6" s="10"/>
      <c r="K6" s="5"/>
      <c r="L6" s="95"/>
    </row>
    <row r="7" spans="1:43" s="22" customFormat="1" ht="15.75" x14ac:dyDescent="0.25">
      <c r="A7" s="18"/>
      <c r="B7" s="19" t="s">
        <v>8</v>
      </c>
      <c r="C7" s="18"/>
      <c r="D7" s="18"/>
      <c r="E7" s="20"/>
      <c r="F7" s="18"/>
      <c r="G7" s="18"/>
      <c r="H7" s="18"/>
      <c r="I7" s="21"/>
      <c r="K7" s="18"/>
      <c r="L7" s="95"/>
    </row>
    <row r="8" spans="1:43" s="6" customFormat="1" ht="17.100000000000001" customHeight="1" x14ac:dyDescent="0.25">
      <c r="A8" s="5"/>
      <c r="B8" s="23" t="s">
        <v>9</v>
      </c>
      <c r="C8" s="23" t="s">
        <v>10</v>
      </c>
      <c r="D8" s="23" t="s">
        <v>11</v>
      </c>
      <c r="E8" s="24" t="s">
        <v>6</v>
      </c>
      <c r="F8" s="25"/>
      <c r="G8" s="25"/>
      <c r="H8" s="25"/>
      <c r="I8" s="26"/>
      <c r="K8" s="5"/>
      <c r="L8" s="95"/>
    </row>
    <row r="9" spans="1:43" s="6" customFormat="1" ht="20.100000000000001" customHeight="1" x14ac:dyDescent="0.25">
      <c r="A9" s="5"/>
      <c r="B9" s="27" t="s">
        <v>12</v>
      </c>
      <c r="C9" s="27" t="s">
        <v>13</v>
      </c>
      <c r="D9" s="593" t="s">
        <v>14</v>
      </c>
      <c r="E9" s="594">
        <v>54790.7</v>
      </c>
      <c r="F9" s="25"/>
      <c r="G9" s="25"/>
      <c r="H9" s="25"/>
      <c r="I9" s="26"/>
      <c r="J9" s="570">
        <f t="shared" ref="J9:J18" si="0">IF($E9="","",VLOOKUP($E9,DB,$E$4,0))</f>
        <v>55448.2</v>
      </c>
      <c r="K9" s="5"/>
      <c r="L9" s="95"/>
      <c r="M9" s="571"/>
      <c r="N9" s="571">
        <f t="shared" ref="N9:N18" si="1">IF(E9="","",E9)</f>
        <v>54790.7</v>
      </c>
      <c r="O9" s="571">
        <f t="shared" ref="O9:AD18" si="2">IF($N9="","",ROUND($N9+$N9*O$4,1))</f>
        <v>55941.3</v>
      </c>
      <c r="P9" s="571">
        <f t="shared" si="2"/>
        <v>55448.2</v>
      </c>
      <c r="Q9" s="571">
        <f t="shared" si="2"/>
        <v>55612.6</v>
      </c>
      <c r="R9" s="571">
        <f t="shared" si="2"/>
        <v>55557.8</v>
      </c>
      <c r="S9" s="571">
        <f t="shared" si="2"/>
        <v>55886.5</v>
      </c>
      <c r="T9" s="571">
        <f t="shared" si="2"/>
        <v>55831.7</v>
      </c>
      <c r="U9" s="571">
        <f t="shared" si="2"/>
        <v>55776.9</v>
      </c>
      <c r="V9" s="571">
        <f t="shared" si="2"/>
        <v>55722.1</v>
      </c>
      <c r="W9" s="571">
        <f t="shared" si="2"/>
        <v>55503</v>
      </c>
      <c r="X9" s="571">
        <f t="shared" si="2"/>
        <v>56105.7</v>
      </c>
      <c r="Y9" s="571">
        <f t="shared" si="2"/>
        <v>56050.9</v>
      </c>
      <c r="Z9" s="571">
        <f t="shared" si="2"/>
        <v>55667.4</v>
      </c>
      <c r="AA9" s="571">
        <f t="shared" si="2"/>
        <v>55996.1</v>
      </c>
      <c r="AB9" s="571">
        <f t="shared" si="2"/>
        <v>56160.5</v>
      </c>
      <c r="AC9" s="571">
        <f t="shared" si="2"/>
        <v>56489.2</v>
      </c>
      <c r="AD9" s="571">
        <f t="shared" si="2"/>
        <v>56270</v>
      </c>
      <c r="AE9" s="571">
        <f t="shared" ref="AE9:AQ18" si="3">IF($N9="","",ROUND($N9+$N9*AE$4,1))</f>
        <v>55859.1</v>
      </c>
      <c r="AF9" s="571">
        <f t="shared" si="3"/>
        <v>56160.5</v>
      </c>
      <c r="AG9" s="571">
        <f t="shared" si="3"/>
        <v>56653.599999999999</v>
      </c>
      <c r="AH9" s="571">
        <f t="shared" si="3"/>
        <v>56149.5</v>
      </c>
      <c r="AI9" s="571">
        <f t="shared" si="3"/>
        <v>55875.6</v>
      </c>
      <c r="AJ9" s="571">
        <f t="shared" si="3"/>
        <v>55749.5</v>
      </c>
      <c r="AK9" s="571">
        <f t="shared" si="3"/>
        <v>55787.9</v>
      </c>
      <c r="AL9" s="571">
        <f t="shared" si="3"/>
        <v>56171.4</v>
      </c>
      <c r="AM9" s="571">
        <f t="shared" si="3"/>
        <v>56516.6</v>
      </c>
      <c r="AN9" s="571">
        <f t="shared" si="3"/>
        <v>56555</v>
      </c>
      <c r="AO9" s="571">
        <f t="shared" si="3"/>
        <v>56368.7</v>
      </c>
      <c r="AP9" s="571">
        <f t="shared" si="3"/>
        <v>56292</v>
      </c>
      <c r="AQ9" s="571">
        <f t="shared" si="3"/>
        <v>56083.8</v>
      </c>
    </row>
    <row r="10" spans="1:43" s="6" customFormat="1" ht="20.100000000000001" customHeight="1" x14ac:dyDescent="0.25">
      <c r="A10" s="5"/>
      <c r="B10" s="28" t="s">
        <v>12</v>
      </c>
      <c r="C10" s="27" t="s">
        <v>13</v>
      </c>
      <c r="D10" s="593" t="s">
        <v>15</v>
      </c>
      <c r="E10" s="594">
        <v>90827</v>
      </c>
      <c r="F10" s="25"/>
      <c r="G10" s="25"/>
      <c r="H10" s="25"/>
      <c r="I10" s="26"/>
      <c r="J10" s="570">
        <f t="shared" si="0"/>
        <v>91916.9</v>
      </c>
      <c r="K10" s="5"/>
      <c r="L10" s="95"/>
      <c r="M10" s="571"/>
      <c r="N10" s="571">
        <f t="shared" si="1"/>
        <v>90827</v>
      </c>
      <c r="O10" s="571">
        <f t="shared" si="2"/>
        <v>92734.399999999994</v>
      </c>
      <c r="P10" s="571">
        <f t="shared" si="2"/>
        <v>91916.9</v>
      </c>
      <c r="Q10" s="571">
        <f t="shared" si="2"/>
        <v>92189.4</v>
      </c>
      <c r="R10" s="571">
        <f t="shared" si="2"/>
        <v>92098.6</v>
      </c>
      <c r="S10" s="571">
        <f t="shared" si="2"/>
        <v>92643.5</v>
      </c>
      <c r="T10" s="571">
        <f t="shared" si="2"/>
        <v>92552.7</v>
      </c>
      <c r="U10" s="571">
        <f t="shared" si="2"/>
        <v>92461.9</v>
      </c>
      <c r="V10" s="571">
        <f t="shared" si="2"/>
        <v>92371.1</v>
      </c>
      <c r="W10" s="571">
        <f t="shared" si="2"/>
        <v>92007.8</v>
      </c>
      <c r="X10" s="571">
        <f t="shared" si="2"/>
        <v>93006.8</v>
      </c>
      <c r="Y10" s="571">
        <f t="shared" si="2"/>
        <v>92916</v>
      </c>
      <c r="Z10" s="571">
        <f t="shared" si="2"/>
        <v>92280.2</v>
      </c>
      <c r="AA10" s="571">
        <f t="shared" si="2"/>
        <v>92825.2</v>
      </c>
      <c r="AB10" s="571">
        <f t="shared" si="2"/>
        <v>93097.7</v>
      </c>
      <c r="AC10" s="571">
        <f t="shared" si="2"/>
        <v>93642.6</v>
      </c>
      <c r="AD10" s="571">
        <f t="shared" si="2"/>
        <v>93279.3</v>
      </c>
      <c r="AE10" s="571">
        <f t="shared" si="3"/>
        <v>92598.1</v>
      </c>
      <c r="AF10" s="571">
        <f t="shared" si="3"/>
        <v>93097.7</v>
      </c>
      <c r="AG10" s="571">
        <f t="shared" si="3"/>
        <v>93915.1</v>
      </c>
      <c r="AH10" s="571">
        <f t="shared" si="3"/>
        <v>93079.5</v>
      </c>
      <c r="AI10" s="571">
        <f t="shared" si="3"/>
        <v>92625.4</v>
      </c>
      <c r="AJ10" s="571">
        <f t="shared" si="3"/>
        <v>92416.5</v>
      </c>
      <c r="AK10" s="571">
        <f t="shared" si="3"/>
        <v>92480.1</v>
      </c>
      <c r="AL10" s="571">
        <f t="shared" si="3"/>
        <v>93115.8</v>
      </c>
      <c r="AM10" s="571">
        <f t="shared" si="3"/>
        <v>93688.1</v>
      </c>
      <c r="AN10" s="571">
        <f t="shared" si="3"/>
        <v>93751.6</v>
      </c>
      <c r="AO10" s="571">
        <f t="shared" si="3"/>
        <v>93442.8</v>
      </c>
      <c r="AP10" s="571">
        <f t="shared" si="3"/>
        <v>93315.7</v>
      </c>
      <c r="AQ10" s="571">
        <f t="shared" si="3"/>
        <v>92970.5</v>
      </c>
    </row>
    <row r="11" spans="1:43" s="6" customFormat="1" ht="20.100000000000001" customHeight="1" x14ac:dyDescent="0.25">
      <c r="A11" s="5"/>
      <c r="B11" s="27" t="s">
        <v>12</v>
      </c>
      <c r="C11" s="27" t="s">
        <v>13</v>
      </c>
      <c r="D11" s="593" t="s">
        <v>16</v>
      </c>
      <c r="E11" s="594">
        <v>38978.199999999997</v>
      </c>
      <c r="F11" s="25"/>
      <c r="G11" s="25"/>
      <c r="H11" s="25"/>
      <c r="I11" s="26"/>
      <c r="J11" s="570">
        <f t="shared" si="0"/>
        <v>39445.9</v>
      </c>
      <c r="K11" s="5"/>
      <c r="L11" s="95"/>
      <c r="M11" s="571"/>
      <c r="N11" s="571">
        <f t="shared" si="1"/>
        <v>38978.199999999997</v>
      </c>
      <c r="O11" s="571">
        <f t="shared" si="2"/>
        <v>39796.699999999997</v>
      </c>
      <c r="P11" s="571">
        <f t="shared" si="2"/>
        <v>39445.9</v>
      </c>
      <c r="Q11" s="571">
        <f t="shared" si="2"/>
        <v>39562.9</v>
      </c>
      <c r="R11" s="571">
        <f t="shared" si="2"/>
        <v>39523.9</v>
      </c>
      <c r="S11" s="571">
        <f t="shared" si="2"/>
        <v>39757.800000000003</v>
      </c>
      <c r="T11" s="571">
        <f t="shared" si="2"/>
        <v>39718.800000000003</v>
      </c>
      <c r="U11" s="571">
        <f t="shared" si="2"/>
        <v>39679.800000000003</v>
      </c>
      <c r="V11" s="571">
        <f t="shared" si="2"/>
        <v>39640.800000000003</v>
      </c>
      <c r="W11" s="571">
        <f t="shared" si="2"/>
        <v>39484.9</v>
      </c>
      <c r="X11" s="571">
        <f t="shared" si="2"/>
        <v>39913.699999999997</v>
      </c>
      <c r="Y11" s="571">
        <f t="shared" si="2"/>
        <v>39874.699999999997</v>
      </c>
      <c r="Z11" s="571">
        <f t="shared" si="2"/>
        <v>39601.9</v>
      </c>
      <c r="AA11" s="571">
        <f t="shared" si="2"/>
        <v>39835.699999999997</v>
      </c>
      <c r="AB11" s="571">
        <f t="shared" si="2"/>
        <v>39952.699999999997</v>
      </c>
      <c r="AC11" s="571">
        <f t="shared" si="2"/>
        <v>40186.5</v>
      </c>
      <c r="AD11" s="571">
        <f t="shared" si="2"/>
        <v>40030.6</v>
      </c>
      <c r="AE11" s="571">
        <f t="shared" si="3"/>
        <v>39738.300000000003</v>
      </c>
      <c r="AF11" s="571">
        <f t="shared" si="3"/>
        <v>39952.699999999997</v>
      </c>
      <c r="AG11" s="571">
        <f t="shared" si="3"/>
        <v>40303.5</v>
      </c>
      <c r="AH11" s="571">
        <f t="shared" si="3"/>
        <v>39944.9</v>
      </c>
      <c r="AI11" s="571">
        <f t="shared" si="3"/>
        <v>39750</v>
      </c>
      <c r="AJ11" s="571">
        <f t="shared" si="3"/>
        <v>39660.300000000003</v>
      </c>
      <c r="AK11" s="571">
        <f t="shared" si="3"/>
        <v>39687.599999999999</v>
      </c>
      <c r="AL11" s="571">
        <f t="shared" si="3"/>
        <v>39960.5</v>
      </c>
      <c r="AM11" s="571">
        <f t="shared" si="3"/>
        <v>40206</v>
      </c>
      <c r="AN11" s="571">
        <f t="shared" si="3"/>
        <v>40233.300000000003</v>
      </c>
      <c r="AO11" s="571">
        <f t="shared" si="3"/>
        <v>40100.800000000003</v>
      </c>
      <c r="AP11" s="571">
        <f t="shared" si="3"/>
        <v>40046.199999999997</v>
      </c>
      <c r="AQ11" s="571">
        <f t="shared" si="3"/>
        <v>39898.1</v>
      </c>
    </row>
    <row r="12" spans="1:43" s="6" customFormat="1" ht="20.100000000000001" customHeight="1" x14ac:dyDescent="0.25">
      <c r="A12" s="5"/>
      <c r="B12" s="28" t="s">
        <v>12</v>
      </c>
      <c r="C12" s="27" t="s">
        <v>13</v>
      </c>
      <c r="D12" s="593" t="s">
        <v>17</v>
      </c>
      <c r="E12" s="594">
        <v>2499.6</v>
      </c>
      <c r="F12" s="25"/>
      <c r="G12" s="25"/>
      <c r="H12" s="25"/>
      <c r="I12" s="26"/>
      <c r="J12" s="570">
        <f t="shared" si="0"/>
        <v>2529.6</v>
      </c>
      <c r="K12" s="5"/>
      <c r="L12" s="95"/>
      <c r="M12" s="571"/>
      <c r="N12" s="571">
        <f t="shared" si="1"/>
        <v>2499.6</v>
      </c>
      <c r="O12" s="571">
        <f t="shared" si="2"/>
        <v>2552.1</v>
      </c>
      <c r="P12" s="571">
        <f t="shared" si="2"/>
        <v>2529.6</v>
      </c>
      <c r="Q12" s="571">
        <f t="shared" si="2"/>
        <v>2537.1</v>
      </c>
      <c r="R12" s="571">
        <f t="shared" si="2"/>
        <v>2534.6</v>
      </c>
      <c r="S12" s="571">
        <f t="shared" si="2"/>
        <v>2549.6</v>
      </c>
      <c r="T12" s="571">
        <f t="shared" si="2"/>
        <v>2547.1</v>
      </c>
      <c r="U12" s="571">
        <f t="shared" si="2"/>
        <v>2544.6</v>
      </c>
      <c r="V12" s="571">
        <f t="shared" si="2"/>
        <v>2542.1</v>
      </c>
      <c r="W12" s="571">
        <f t="shared" si="2"/>
        <v>2532.1</v>
      </c>
      <c r="X12" s="571">
        <f t="shared" si="2"/>
        <v>2559.6</v>
      </c>
      <c r="Y12" s="571">
        <f t="shared" si="2"/>
        <v>2557.1</v>
      </c>
      <c r="Z12" s="571">
        <f t="shared" si="2"/>
        <v>2539.6</v>
      </c>
      <c r="AA12" s="571">
        <f t="shared" si="2"/>
        <v>2554.6</v>
      </c>
      <c r="AB12" s="571">
        <f t="shared" si="2"/>
        <v>2562.1</v>
      </c>
      <c r="AC12" s="571">
        <f t="shared" si="2"/>
        <v>2577.1</v>
      </c>
      <c r="AD12" s="571">
        <f t="shared" si="2"/>
        <v>2567.1</v>
      </c>
      <c r="AE12" s="571">
        <f t="shared" si="3"/>
        <v>2548.3000000000002</v>
      </c>
      <c r="AF12" s="571">
        <f t="shared" si="3"/>
        <v>2562.1</v>
      </c>
      <c r="AG12" s="571">
        <f t="shared" si="3"/>
        <v>2584.6</v>
      </c>
      <c r="AH12" s="571">
        <f t="shared" si="3"/>
        <v>2561.6</v>
      </c>
      <c r="AI12" s="571">
        <f t="shared" si="3"/>
        <v>2549.1</v>
      </c>
      <c r="AJ12" s="571">
        <f t="shared" si="3"/>
        <v>2543.3000000000002</v>
      </c>
      <c r="AK12" s="571">
        <f t="shared" si="3"/>
        <v>2545.1</v>
      </c>
      <c r="AL12" s="571">
        <f t="shared" si="3"/>
        <v>2562.6</v>
      </c>
      <c r="AM12" s="571">
        <f t="shared" si="3"/>
        <v>2578.3000000000002</v>
      </c>
      <c r="AN12" s="571">
        <f t="shared" si="3"/>
        <v>2580.1</v>
      </c>
      <c r="AO12" s="571">
        <f t="shared" si="3"/>
        <v>2571.6</v>
      </c>
      <c r="AP12" s="571">
        <f t="shared" si="3"/>
        <v>2568.1</v>
      </c>
      <c r="AQ12" s="571">
        <f t="shared" si="3"/>
        <v>2558.6</v>
      </c>
    </row>
    <row r="13" spans="1:43" s="6" customFormat="1" ht="20.100000000000001" customHeight="1" x14ac:dyDescent="0.25">
      <c r="A13" s="5"/>
      <c r="B13" s="27" t="s">
        <v>12</v>
      </c>
      <c r="C13" s="27" t="s">
        <v>13</v>
      </c>
      <c r="D13" s="593" t="s">
        <v>18</v>
      </c>
      <c r="E13" s="594">
        <v>3309.2</v>
      </c>
      <c r="F13" s="25"/>
      <c r="G13" s="25"/>
      <c r="H13" s="25"/>
      <c r="I13" s="26"/>
      <c r="J13" s="570">
        <f t="shared" si="0"/>
        <v>3348.9</v>
      </c>
      <c r="K13" s="5"/>
      <c r="L13" s="95"/>
      <c r="M13" s="571"/>
      <c r="N13" s="571">
        <f t="shared" si="1"/>
        <v>3309.2</v>
      </c>
      <c r="O13" s="571">
        <f t="shared" si="2"/>
        <v>3378.7</v>
      </c>
      <c r="P13" s="571">
        <f t="shared" si="2"/>
        <v>3348.9</v>
      </c>
      <c r="Q13" s="571">
        <f t="shared" si="2"/>
        <v>3358.8</v>
      </c>
      <c r="R13" s="571">
        <f t="shared" si="2"/>
        <v>3355.5</v>
      </c>
      <c r="S13" s="571">
        <f t="shared" si="2"/>
        <v>3375.4</v>
      </c>
      <c r="T13" s="571">
        <f t="shared" si="2"/>
        <v>3372.1</v>
      </c>
      <c r="U13" s="571">
        <f t="shared" si="2"/>
        <v>3368.8</v>
      </c>
      <c r="V13" s="571">
        <f t="shared" si="2"/>
        <v>3365.5</v>
      </c>
      <c r="W13" s="571">
        <f t="shared" si="2"/>
        <v>3352.2</v>
      </c>
      <c r="X13" s="571">
        <f t="shared" si="2"/>
        <v>3388.6</v>
      </c>
      <c r="Y13" s="571">
        <f t="shared" si="2"/>
        <v>3385.3</v>
      </c>
      <c r="Z13" s="571">
        <f t="shared" si="2"/>
        <v>3362.1</v>
      </c>
      <c r="AA13" s="571">
        <f t="shared" si="2"/>
        <v>3382</v>
      </c>
      <c r="AB13" s="571">
        <f t="shared" si="2"/>
        <v>3391.9</v>
      </c>
      <c r="AC13" s="571">
        <f t="shared" si="2"/>
        <v>3411.8</v>
      </c>
      <c r="AD13" s="571">
        <f t="shared" si="2"/>
        <v>3398.5</v>
      </c>
      <c r="AE13" s="571">
        <f t="shared" si="3"/>
        <v>3373.7</v>
      </c>
      <c r="AF13" s="571">
        <f t="shared" si="3"/>
        <v>3391.9</v>
      </c>
      <c r="AG13" s="571">
        <f t="shared" si="3"/>
        <v>3421.7</v>
      </c>
      <c r="AH13" s="571">
        <f t="shared" si="3"/>
        <v>3391.3</v>
      </c>
      <c r="AI13" s="571">
        <f t="shared" si="3"/>
        <v>3374.7</v>
      </c>
      <c r="AJ13" s="571">
        <f t="shared" si="3"/>
        <v>3367.1</v>
      </c>
      <c r="AK13" s="571">
        <f t="shared" si="3"/>
        <v>3369.4</v>
      </c>
      <c r="AL13" s="571">
        <f t="shared" si="3"/>
        <v>3392.6</v>
      </c>
      <c r="AM13" s="571">
        <f t="shared" si="3"/>
        <v>3413.4</v>
      </c>
      <c r="AN13" s="571">
        <f t="shared" si="3"/>
        <v>3415.8</v>
      </c>
      <c r="AO13" s="571">
        <f t="shared" si="3"/>
        <v>3404.5</v>
      </c>
      <c r="AP13" s="571">
        <f t="shared" si="3"/>
        <v>3399.9</v>
      </c>
      <c r="AQ13" s="571">
        <f t="shared" si="3"/>
        <v>3387.3</v>
      </c>
    </row>
    <row r="14" spans="1:43" s="6" customFormat="1" ht="20.100000000000001" customHeight="1" x14ac:dyDescent="0.25">
      <c r="A14" s="5"/>
      <c r="B14" s="28" t="s">
        <v>12</v>
      </c>
      <c r="C14" s="27" t="s">
        <v>13</v>
      </c>
      <c r="D14" s="593" t="s">
        <v>19</v>
      </c>
      <c r="E14" s="594">
        <v>551.5</v>
      </c>
      <c r="F14" s="25"/>
      <c r="G14" s="25"/>
      <c r="H14" s="25"/>
      <c r="I14" s="26"/>
      <c r="J14" s="570">
        <f t="shared" si="0"/>
        <v>558.1</v>
      </c>
      <c r="K14" s="5"/>
      <c r="L14" s="95"/>
      <c r="M14" s="571"/>
      <c r="N14" s="571">
        <f t="shared" si="1"/>
        <v>551.5</v>
      </c>
      <c r="O14" s="571">
        <f t="shared" si="2"/>
        <v>563.1</v>
      </c>
      <c r="P14" s="571">
        <f t="shared" si="2"/>
        <v>558.1</v>
      </c>
      <c r="Q14" s="571">
        <f t="shared" si="2"/>
        <v>559.79999999999995</v>
      </c>
      <c r="R14" s="571">
        <f t="shared" si="2"/>
        <v>559.20000000000005</v>
      </c>
      <c r="S14" s="571">
        <f t="shared" si="2"/>
        <v>562.5</v>
      </c>
      <c r="T14" s="571">
        <f t="shared" si="2"/>
        <v>562</v>
      </c>
      <c r="U14" s="571">
        <f t="shared" si="2"/>
        <v>561.4</v>
      </c>
      <c r="V14" s="571">
        <f t="shared" si="2"/>
        <v>560.9</v>
      </c>
      <c r="W14" s="571">
        <f t="shared" si="2"/>
        <v>558.70000000000005</v>
      </c>
      <c r="X14" s="571">
        <f t="shared" si="2"/>
        <v>564.70000000000005</v>
      </c>
      <c r="Y14" s="571">
        <f t="shared" si="2"/>
        <v>564.20000000000005</v>
      </c>
      <c r="Z14" s="571">
        <f t="shared" si="2"/>
        <v>560.29999999999995</v>
      </c>
      <c r="AA14" s="571">
        <f t="shared" si="2"/>
        <v>563.6</v>
      </c>
      <c r="AB14" s="571">
        <f t="shared" si="2"/>
        <v>565.29999999999995</v>
      </c>
      <c r="AC14" s="571">
        <f t="shared" si="2"/>
        <v>568.6</v>
      </c>
      <c r="AD14" s="571">
        <f t="shared" si="2"/>
        <v>566.4</v>
      </c>
      <c r="AE14" s="571">
        <f t="shared" si="3"/>
        <v>562.29999999999995</v>
      </c>
      <c r="AF14" s="571">
        <f t="shared" si="3"/>
        <v>565.29999999999995</v>
      </c>
      <c r="AG14" s="571">
        <f t="shared" si="3"/>
        <v>570.29999999999995</v>
      </c>
      <c r="AH14" s="571">
        <f t="shared" si="3"/>
        <v>565.20000000000005</v>
      </c>
      <c r="AI14" s="571">
        <f t="shared" si="3"/>
        <v>562.4</v>
      </c>
      <c r="AJ14" s="571">
        <f t="shared" si="3"/>
        <v>561.20000000000005</v>
      </c>
      <c r="AK14" s="571">
        <f t="shared" si="3"/>
        <v>561.5</v>
      </c>
      <c r="AL14" s="571">
        <f t="shared" si="3"/>
        <v>565.4</v>
      </c>
      <c r="AM14" s="571">
        <f t="shared" si="3"/>
        <v>568.9</v>
      </c>
      <c r="AN14" s="571">
        <f t="shared" si="3"/>
        <v>569.29999999999995</v>
      </c>
      <c r="AO14" s="571">
        <f t="shared" si="3"/>
        <v>567.4</v>
      </c>
      <c r="AP14" s="571">
        <f t="shared" si="3"/>
        <v>566.6</v>
      </c>
      <c r="AQ14" s="571">
        <f t="shared" si="3"/>
        <v>564.5</v>
      </c>
    </row>
    <row r="15" spans="1:43" s="6" customFormat="1" ht="20.100000000000001" customHeight="1" x14ac:dyDescent="0.25">
      <c r="A15" s="5"/>
      <c r="B15" s="27" t="s">
        <v>12</v>
      </c>
      <c r="C15" s="27" t="s">
        <v>13</v>
      </c>
      <c r="D15" s="593" t="s">
        <v>20</v>
      </c>
      <c r="E15" s="594">
        <v>30344.799999999999</v>
      </c>
      <c r="F15" s="25"/>
      <c r="G15" s="25"/>
      <c r="H15" s="25"/>
      <c r="I15" s="26"/>
      <c r="J15" s="570">
        <f t="shared" si="0"/>
        <v>30708.9</v>
      </c>
      <c r="K15" s="5"/>
      <c r="L15" s="95"/>
      <c r="M15" s="571"/>
      <c r="N15" s="571">
        <f t="shared" si="1"/>
        <v>30344.799999999999</v>
      </c>
      <c r="O15" s="571">
        <f t="shared" si="2"/>
        <v>30982</v>
      </c>
      <c r="P15" s="571">
        <f t="shared" si="2"/>
        <v>30708.9</v>
      </c>
      <c r="Q15" s="571">
        <f t="shared" si="2"/>
        <v>30800</v>
      </c>
      <c r="R15" s="571">
        <f t="shared" si="2"/>
        <v>30769.599999999999</v>
      </c>
      <c r="S15" s="571">
        <f t="shared" si="2"/>
        <v>30951.7</v>
      </c>
      <c r="T15" s="571">
        <f t="shared" si="2"/>
        <v>30921.4</v>
      </c>
      <c r="U15" s="571">
        <f t="shared" si="2"/>
        <v>30891</v>
      </c>
      <c r="V15" s="571">
        <f t="shared" si="2"/>
        <v>30860.7</v>
      </c>
      <c r="W15" s="571">
        <f t="shared" si="2"/>
        <v>30739.3</v>
      </c>
      <c r="X15" s="571">
        <f t="shared" si="2"/>
        <v>31073.1</v>
      </c>
      <c r="Y15" s="571">
        <f t="shared" si="2"/>
        <v>31042.7</v>
      </c>
      <c r="Z15" s="571">
        <f t="shared" si="2"/>
        <v>30830.3</v>
      </c>
      <c r="AA15" s="571">
        <f t="shared" si="2"/>
        <v>31012.400000000001</v>
      </c>
      <c r="AB15" s="571">
        <f t="shared" si="2"/>
        <v>31103.4</v>
      </c>
      <c r="AC15" s="571">
        <f t="shared" si="2"/>
        <v>31285.5</v>
      </c>
      <c r="AD15" s="571">
        <f t="shared" si="2"/>
        <v>31164.1</v>
      </c>
      <c r="AE15" s="571">
        <f t="shared" si="3"/>
        <v>30936.5</v>
      </c>
      <c r="AF15" s="571">
        <f t="shared" si="3"/>
        <v>31103.4</v>
      </c>
      <c r="AG15" s="571">
        <f t="shared" si="3"/>
        <v>31376.5</v>
      </c>
      <c r="AH15" s="571">
        <f t="shared" si="3"/>
        <v>31097.4</v>
      </c>
      <c r="AI15" s="571">
        <f t="shared" si="3"/>
        <v>30945.599999999999</v>
      </c>
      <c r="AJ15" s="571">
        <f t="shared" si="3"/>
        <v>30875.8</v>
      </c>
      <c r="AK15" s="571">
        <f t="shared" si="3"/>
        <v>30897.1</v>
      </c>
      <c r="AL15" s="571">
        <f t="shared" si="3"/>
        <v>31109.5</v>
      </c>
      <c r="AM15" s="571">
        <f t="shared" si="3"/>
        <v>31300.7</v>
      </c>
      <c r="AN15" s="571">
        <f t="shared" si="3"/>
        <v>31321.9</v>
      </c>
      <c r="AO15" s="571">
        <f t="shared" si="3"/>
        <v>31218.7</v>
      </c>
      <c r="AP15" s="571">
        <f t="shared" si="3"/>
        <v>31176.2</v>
      </c>
      <c r="AQ15" s="571">
        <f t="shared" si="3"/>
        <v>31060.9</v>
      </c>
    </row>
    <row r="16" spans="1:43" s="6" customFormat="1" ht="20.100000000000001" customHeight="1" x14ac:dyDescent="0.25">
      <c r="A16" s="5"/>
      <c r="B16" s="28" t="s">
        <v>12</v>
      </c>
      <c r="C16" s="29" t="s">
        <v>13</v>
      </c>
      <c r="D16" s="595" t="s">
        <v>21</v>
      </c>
      <c r="E16" s="594">
        <v>956.3</v>
      </c>
      <c r="F16" s="25"/>
      <c r="G16" s="25"/>
      <c r="H16" s="25"/>
      <c r="I16" s="26"/>
      <c r="J16" s="570">
        <f t="shared" si="0"/>
        <v>967.8</v>
      </c>
      <c r="K16" s="5"/>
      <c r="L16" s="95"/>
      <c r="M16" s="571"/>
      <c r="N16" s="571">
        <f t="shared" si="1"/>
        <v>956.3</v>
      </c>
      <c r="O16" s="571">
        <f t="shared" si="2"/>
        <v>976.4</v>
      </c>
      <c r="P16" s="571">
        <f t="shared" si="2"/>
        <v>967.8</v>
      </c>
      <c r="Q16" s="571">
        <f t="shared" si="2"/>
        <v>970.6</v>
      </c>
      <c r="R16" s="571">
        <f t="shared" si="2"/>
        <v>969.7</v>
      </c>
      <c r="S16" s="571">
        <f t="shared" si="2"/>
        <v>975.4</v>
      </c>
      <c r="T16" s="571">
        <f t="shared" si="2"/>
        <v>974.5</v>
      </c>
      <c r="U16" s="571">
        <f t="shared" si="2"/>
        <v>973.5</v>
      </c>
      <c r="V16" s="571">
        <f t="shared" si="2"/>
        <v>972.6</v>
      </c>
      <c r="W16" s="571">
        <f t="shared" si="2"/>
        <v>968.7</v>
      </c>
      <c r="X16" s="571">
        <f t="shared" si="2"/>
        <v>979.3</v>
      </c>
      <c r="Y16" s="571">
        <f t="shared" si="2"/>
        <v>978.3</v>
      </c>
      <c r="Z16" s="571">
        <f t="shared" si="2"/>
        <v>971.6</v>
      </c>
      <c r="AA16" s="571">
        <f t="shared" si="2"/>
        <v>977.3</v>
      </c>
      <c r="AB16" s="571">
        <f t="shared" si="2"/>
        <v>980.2</v>
      </c>
      <c r="AC16" s="571">
        <f t="shared" si="2"/>
        <v>985.9</v>
      </c>
      <c r="AD16" s="571">
        <f t="shared" si="2"/>
        <v>982.1</v>
      </c>
      <c r="AE16" s="571">
        <f t="shared" si="3"/>
        <v>974.9</v>
      </c>
      <c r="AF16" s="571">
        <f t="shared" si="3"/>
        <v>980.2</v>
      </c>
      <c r="AG16" s="571">
        <f t="shared" si="3"/>
        <v>988.8</v>
      </c>
      <c r="AH16" s="571">
        <f t="shared" si="3"/>
        <v>980</v>
      </c>
      <c r="AI16" s="571">
        <f t="shared" si="3"/>
        <v>975.2</v>
      </c>
      <c r="AJ16" s="571">
        <f t="shared" si="3"/>
        <v>973</v>
      </c>
      <c r="AK16" s="571">
        <f t="shared" si="3"/>
        <v>973.7</v>
      </c>
      <c r="AL16" s="571">
        <f t="shared" si="3"/>
        <v>980.4</v>
      </c>
      <c r="AM16" s="571">
        <f t="shared" si="3"/>
        <v>986.4</v>
      </c>
      <c r="AN16" s="571">
        <f t="shared" si="3"/>
        <v>987.1</v>
      </c>
      <c r="AO16" s="571">
        <f t="shared" si="3"/>
        <v>983.8</v>
      </c>
      <c r="AP16" s="571">
        <f t="shared" si="3"/>
        <v>982.5</v>
      </c>
      <c r="AQ16" s="571">
        <f t="shared" si="3"/>
        <v>978.9</v>
      </c>
    </row>
    <row r="17" spans="1:43" s="6" customFormat="1" ht="20.100000000000001" customHeight="1" x14ac:dyDescent="0.25">
      <c r="A17" s="5"/>
      <c r="B17" s="28" t="s">
        <v>12</v>
      </c>
      <c r="C17" s="27" t="s">
        <v>13</v>
      </c>
      <c r="D17" s="595" t="s">
        <v>22</v>
      </c>
      <c r="E17" s="594">
        <v>4932.5</v>
      </c>
      <c r="F17" s="25"/>
      <c r="G17" s="25"/>
      <c r="H17" s="25"/>
      <c r="I17" s="26"/>
      <c r="J17" s="570">
        <f t="shared" si="0"/>
        <v>4991.7</v>
      </c>
      <c r="K17" s="5"/>
      <c r="L17" s="95"/>
      <c r="M17" s="571"/>
      <c r="N17" s="571">
        <f t="shared" si="1"/>
        <v>4932.5</v>
      </c>
      <c r="O17" s="571">
        <f t="shared" si="2"/>
        <v>5036.1000000000004</v>
      </c>
      <c r="P17" s="571">
        <f t="shared" si="2"/>
        <v>4991.7</v>
      </c>
      <c r="Q17" s="571">
        <f t="shared" si="2"/>
        <v>5006.5</v>
      </c>
      <c r="R17" s="571">
        <f t="shared" si="2"/>
        <v>5001.6000000000004</v>
      </c>
      <c r="S17" s="571">
        <f t="shared" si="2"/>
        <v>5031.2</v>
      </c>
      <c r="T17" s="571">
        <f t="shared" si="2"/>
        <v>5026.2</v>
      </c>
      <c r="U17" s="571">
        <f t="shared" si="2"/>
        <v>5021.3</v>
      </c>
      <c r="V17" s="571">
        <f t="shared" si="2"/>
        <v>5016.3999999999996</v>
      </c>
      <c r="W17" s="571">
        <f t="shared" si="2"/>
        <v>4996.6000000000004</v>
      </c>
      <c r="X17" s="571">
        <f t="shared" si="2"/>
        <v>5050.8999999999996</v>
      </c>
      <c r="Y17" s="571">
        <f t="shared" si="2"/>
        <v>5045.8999999999996</v>
      </c>
      <c r="Z17" s="571">
        <f t="shared" si="2"/>
        <v>5011.3999999999996</v>
      </c>
      <c r="AA17" s="571">
        <f t="shared" si="2"/>
        <v>5041</v>
      </c>
      <c r="AB17" s="571">
        <f t="shared" si="2"/>
        <v>5055.8</v>
      </c>
      <c r="AC17" s="571">
        <f t="shared" si="2"/>
        <v>5085.3999999999996</v>
      </c>
      <c r="AD17" s="571">
        <f t="shared" si="2"/>
        <v>5065.7</v>
      </c>
      <c r="AE17" s="571">
        <f t="shared" si="3"/>
        <v>5028.7</v>
      </c>
      <c r="AF17" s="571">
        <f t="shared" si="3"/>
        <v>5055.8</v>
      </c>
      <c r="AG17" s="571">
        <f t="shared" si="3"/>
        <v>5100.2</v>
      </c>
      <c r="AH17" s="571">
        <f t="shared" si="3"/>
        <v>5054.8</v>
      </c>
      <c r="AI17" s="571">
        <f t="shared" si="3"/>
        <v>5030.2</v>
      </c>
      <c r="AJ17" s="571">
        <f t="shared" si="3"/>
        <v>5018.8</v>
      </c>
      <c r="AK17" s="571">
        <f t="shared" si="3"/>
        <v>5022.3</v>
      </c>
      <c r="AL17" s="571">
        <f t="shared" si="3"/>
        <v>5056.8</v>
      </c>
      <c r="AM17" s="571">
        <f t="shared" si="3"/>
        <v>5087.8999999999996</v>
      </c>
      <c r="AN17" s="571">
        <f t="shared" si="3"/>
        <v>5091.3</v>
      </c>
      <c r="AO17" s="571">
        <f t="shared" si="3"/>
        <v>5074.6000000000004</v>
      </c>
      <c r="AP17" s="571">
        <f t="shared" si="3"/>
        <v>5067.7</v>
      </c>
      <c r="AQ17" s="571">
        <f t="shared" si="3"/>
        <v>5048.8999999999996</v>
      </c>
    </row>
    <row r="18" spans="1:43" s="6" customFormat="1" ht="20.100000000000001" customHeight="1" x14ac:dyDescent="0.25">
      <c r="A18" s="5"/>
      <c r="B18" s="28" t="s">
        <v>12</v>
      </c>
      <c r="C18" s="27" t="s">
        <v>13</v>
      </c>
      <c r="D18" s="593" t="s">
        <v>23</v>
      </c>
      <c r="E18" s="594">
        <v>9193.1</v>
      </c>
      <c r="F18" s="25"/>
      <c r="G18" s="25"/>
      <c r="H18" s="25"/>
      <c r="I18" s="26"/>
      <c r="J18" s="570">
        <f t="shared" si="0"/>
        <v>9303.4</v>
      </c>
      <c r="K18" s="5"/>
      <c r="L18" s="95"/>
      <c r="M18" s="571"/>
      <c r="N18" s="571">
        <f t="shared" si="1"/>
        <v>9193.1</v>
      </c>
      <c r="O18" s="571">
        <f t="shared" si="2"/>
        <v>9386.2000000000007</v>
      </c>
      <c r="P18" s="571">
        <f t="shared" si="2"/>
        <v>9303.4</v>
      </c>
      <c r="Q18" s="571">
        <f t="shared" si="2"/>
        <v>9331</v>
      </c>
      <c r="R18" s="571">
        <f t="shared" si="2"/>
        <v>9321.7999999999993</v>
      </c>
      <c r="S18" s="571">
        <f t="shared" si="2"/>
        <v>9377</v>
      </c>
      <c r="T18" s="571">
        <f t="shared" si="2"/>
        <v>9367.7999999999993</v>
      </c>
      <c r="U18" s="571">
        <f t="shared" si="2"/>
        <v>9358.6</v>
      </c>
      <c r="V18" s="571">
        <f t="shared" si="2"/>
        <v>9349.4</v>
      </c>
      <c r="W18" s="571">
        <f t="shared" si="2"/>
        <v>9312.6</v>
      </c>
      <c r="X18" s="571">
        <f t="shared" si="2"/>
        <v>9413.7000000000007</v>
      </c>
      <c r="Y18" s="571">
        <f t="shared" si="2"/>
        <v>9404.5</v>
      </c>
      <c r="Z18" s="571">
        <f t="shared" si="2"/>
        <v>9340.2000000000007</v>
      </c>
      <c r="AA18" s="571">
        <f t="shared" si="2"/>
        <v>9395.2999999999993</v>
      </c>
      <c r="AB18" s="571">
        <f t="shared" si="2"/>
        <v>9422.9</v>
      </c>
      <c r="AC18" s="571">
        <f t="shared" si="2"/>
        <v>9478.1</v>
      </c>
      <c r="AD18" s="571">
        <f t="shared" si="2"/>
        <v>9441.2999999999993</v>
      </c>
      <c r="AE18" s="571">
        <f t="shared" si="3"/>
        <v>9372.4</v>
      </c>
      <c r="AF18" s="571">
        <f t="shared" si="3"/>
        <v>9422.9</v>
      </c>
      <c r="AG18" s="571">
        <f t="shared" si="3"/>
        <v>9505.7000000000007</v>
      </c>
      <c r="AH18" s="571">
        <f t="shared" si="3"/>
        <v>9421.1</v>
      </c>
      <c r="AI18" s="571">
        <f t="shared" si="3"/>
        <v>9375.1</v>
      </c>
      <c r="AJ18" s="571">
        <f t="shared" si="3"/>
        <v>9354</v>
      </c>
      <c r="AK18" s="571">
        <f t="shared" si="3"/>
        <v>9360.4</v>
      </c>
      <c r="AL18" s="571">
        <f t="shared" si="3"/>
        <v>9424.7999999999993</v>
      </c>
      <c r="AM18" s="571">
        <f t="shared" si="3"/>
        <v>9482.7000000000007</v>
      </c>
      <c r="AN18" s="571">
        <f t="shared" si="3"/>
        <v>9489.1</v>
      </c>
      <c r="AO18" s="571">
        <f t="shared" si="3"/>
        <v>9457.9</v>
      </c>
      <c r="AP18" s="571">
        <f t="shared" si="3"/>
        <v>9445</v>
      </c>
      <c r="AQ18" s="571">
        <f t="shared" si="3"/>
        <v>9410.1</v>
      </c>
    </row>
    <row r="19" spans="1:43" s="6" customFormat="1" ht="18" customHeight="1" x14ac:dyDescent="0.25">
      <c r="A19" s="5"/>
      <c r="B19" s="16"/>
      <c r="C19" s="16"/>
      <c r="D19" s="5"/>
      <c r="E19" s="17"/>
      <c r="F19" s="5"/>
      <c r="G19" s="5"/>
      <c r="H19" s="5"/>
      <c r="I19" s="10"/>
      <c r="K19" s="5"/>
      <c r="L19" s="95"/>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1"/>
    </row>
    <row r="20" spans="1:43" s="22" customFormat="1" ht="15.75" x14ac:dyDescent="0.25">
      <c r="A20" s="18"/>
      <c r="B20" s="19" t="s">
        <v>24</v>
      </c>
      <c r="C20" s="18"/>
      <c r="D20" s="18"/>
      <c r="E20" s="20"/>
      <c r="F20" s="18"/>
      <c r="G20" s="18"/>
      <c r="H20" s="18"/>
      <c r="I20" s="21"/>
      <c r="K20" s="5"/>
      <c r="L20" s="95"/>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row>
    <row r="21" spans="1:43" s="6" customFormat="1" ht="17.100000000000001" customHeight="1" x14ac:dyDescent="0.25">
      <c r="A21" s="5"/>
      <c r="B21" s="23" t="s">
        <v>9</v>
      </c>
      <c r="C21" s="23" t="s">
        <v>10</v>
      </c>
      <c r="D21" s="23" t="s">
        <v>11</v>
      </c>
      <c r="E21" s="24" t="s">
        <v>6</v>
      </c>
      <c r="F21" s="537" t="s">
        <v>25</v>
      </c>
      <c r="G21" s="538"/>
      <c r="H21" s="25"/>
      <c r="I21" s="26"/>
      <c r="K21" s="5"/>
      <c r="L21" s="95"/>
      <c r="M21" s="571"/>
      <c r="N21" s="15" t="s">
        <v>6</v>
      </c>
      <c r="O21" s="15">
        <f>O4</f>
        <v>2.1000000000000001E-2</v>
      </c>
      <c r="P21" s="15">
        <f t="shared" ref="P21:AQ21" si="4">P4</f>
        <v>1.2E-2</v>
      </c>
      <c r="Q21" s="15">
        <f t="shared" si="4"/>
        <v>1.4999999999999999E-2</v>
      </c>
      <c r="R21" s="15">
        <f t="shared" si="4"/>
        <v>1.4E-2</v>
      </c>
      <c r="S21" s="15">
        <f t="shared" si="4"/>
        <v>0.02</v>
      </c>
      <c r="T21" s="15">
        <f t="shared" si="4"/>
        <v>1.9E-2</v>
      </c>
      <c r="U21" s="15">
        <f t="shared" si="4"/>
        <v>1.7999999999999999E-2</v>
      </c>
      <c r="V21" s="15">
        <f t="shared" si="4"/>
        <v>1.7000000000000001E-2</v>
      </c>
      <c r="W21" s="15">
        <f t="shared" si="4"/>
        <v>1.2999999999999999E-2</v>
      </c>
      <c r="X21" s="15">
        <f t="shared" si="4"/>
        <v>2.4E-2</v>
      </c>
      <c r="Y21" s="15">
        <f t="shared" si="4"/>
        <v>2.3E-2</v>
      </c>
      <c r="Z21" s="15">
        <f t="shared" si="4"/>
        <v>1.6E-2</v>
      </c>
      <c r="AA21" s="15">
        <f t="shared" si="4"/>
        <v>2.1999999999999999E-2</v>
      </c>
      <c r="AB21" s="15">
        <f t="shared" si="4"/>
        <v>2.5000000000000001E-2</v>
      </c>
      <c r="AC21" s="15">
        <f t="shared" si="4"/>
        <v>3.1E-2</v>
      </c>
      <c r="AD21" s="15">
        <f t="shared" si="4"/>
        <v>2.7E-2</v>
      </c>
      <c r="AE21" s="15">
        <f t="shared" si="4"/>
        <v>1.95E-2</v>
      </c>
      <c r="AF21" s="15">
        <f t="shared" si="4"/>
        <v>2.5000000000000001E-2</v>
      </c>
      <c r="AG21" s="15">
        <f t="shared" si="4"/>
        <v>3.4000000000000002E-2</v>
      </c>
      <c r="AH21" s="15">
        <f t="shared" si="4"/>
        <v>2.4799999999999999E-2</v>
      </c>
      <c r="AI21" s="15">
        <f t="shared" si="4"/>
        <v>1.9800000000000002E-2</v>
      </c>
      <c r="AJ21" s="15">
        <f t="shared" si="4"/>
        <v>1.7500000000000002E-2</v>
      </c>
      <c r="AK21" s="15">
        <f t="shared" si="4"/>
        <v>1.8200000000000001E-2</v>
      </c>
      <c r="AL21" s="15">
        <f t="shared" si="4"/>
        <v>2.52E-2</v>
      </c>
      <c r="AM21" s="15">
        <f t="shared" si="4"/>
        <v>3.15E-2</v>
      </c>
      <c r="AN21" s="15">
        <f t="shared" si="4"/>
        <v>3.2199999999999999E-2</v>
      </c>
      <c r="AO21" s="15">
        <f t="shared" si="4"/>
        <v>2.8799999999999999E-2</v>
      </c>
      <c r="AP21" s="15">
        <f t="shared" si="4"/>
        <v>2.7400000000000001E-2</v>
      </c>
      <c r="AQ21" s="15">
        <f t="shared" si="4"/>
        <v>2.3599999999999999E-2</v>
      </c>
    </row>
    <row r="22" spans="1:43" s="6" customFormat="1" ht="20.100000000000001" customHeight="1" x14ac:dyDescent="0.25">
      <c r="A22" s="5"/>
      <c r="B22" s="586" t="s">
        <v>26</v>
      </c>
      <c r="C22" s="586" t="s">
        <v>27</v>
      </c>
      <c r="D22" s="596" t="s">
        <v>28</v>
      </c>
      <c r="E22" s="594">
        <v>967.8</v>
      </c>
      <c r="F22" s="597" t="s">
        <v>29</v>
      </c>
      <c r="G22" s="598"/>
      <c r="H22" s="25"/>
      <c r="I22" s="26"/>
      <c r="J22" s="570">
        <f t="shared" ref="J22:J29" si="5">IF($E22="","",VLOOKUP($E22,DB,$E$4,0))</f>
        <v>979.4</v>
      </c>
      <c r="K22" s="5"/>
      <c r="L22" s="95"/>
      <c r="M22" s="571"/>
      <c r="N22" s="571">
        <f t="shared" ref="N22:N29" si="6">IF(E22="","",E22)</f>
        <v>967.8</v>
      </c>
      <c r="O22" s="571">
        <f>IF($N22="","",ROUND($N22+$N22*O$21,1))</f>
        <v>988.1</v>
      </c>
      <c r="P22" s="571">
        <f t="shared" ref="P22:AQ32" si="7">IF($N22="","",ROUND($N22+$N22*P$21,1))</f>
        <v>979.4</v>
      </c>
      <c r="Q22" s="571">
        <f t="shared" si="7"/>
        <v>982.3</v>
      </c>
      <c r="R22" s="571">
        <f t="shared" si="7"/>
        <v>981.3</v>
      </c>
      <c r="S22" s="571">
        <f t="shared" si="7"/>
        <v>987.2</v>
      </c>
      <c r="T22" s="571">
        <f t="shared" si="7"/>
        <v>986.2</v>
      </c>
      <c r="U22" s="571">
        <f t="shared" si="7"/>
        <v>985.2</v>
      </c>
      <c r="V22" s="571">
        <f t="shared" si="7"/>
        <v>984.3</v>
      </c>
      <c r="W22" s="571">
        <f t="shared" si="7"/>
        <v>980.4</v>
      </c>
      <c r="X22" s="571">
        <f t="shared" si="7"/>
        <v>991</v>
      </c>
      <c r="Y22" s="571">
        <f t="shared" si="7"/>
        <v>990.1</v>
      </c>
      <c r="Z22" s="571">
        <f t="shared" si="7"/>
        <v>983.3</v>
      </c>
      <c r="AA22" s="571">
        <f t="shared" si="7"/>
        <v>989.1</v>
      </c>
      <c r="AB22" s="571">
        <f t="shared" si="7"/>
        <v>992</v>
      </c>
      <c r="AC22" s="571">
        <f t="shared" si="7"/>
        <v>997.8</v>
      </c>
      <c r="AD22" s="571">
        <f t="shared" si="7"/>
        <v>993.9</v>
      </c>
      <c r="AE22" s="571">
        <f t="shared" si="7"/>
        <v>986.7</v>
      </c>
      <c r="AF22" s="571">
        <f t="shared" si="7"/>
        <v>992</v>
      </c>
      <c r="AG22" s="571">
        <f t="shared" si="7"/>
        <v>1000.7</v>
      </c>
      <c r="AH22" s="571">
        <f t="shared" si="7"/>
        <v>991.8</v>
      </c>
      <c r="AI22" s="571">
        <f t="shared" si="7"/>
        <v>987</v>
      </c>
      <c r="AJ22" s="571">
        <f t="shared" si="7"/>
        <v>984.7</v>
      </c>
      <c r="AK22" s="571">
        <f t="shared" si="7"/>
        <v>985.4</v>
      </c>
      <c r="AL22" s="571">
        <f t="shared" si="7"/>
        <v>992.2</v>
      </c>
      <c r="AM22" s="571">
        <f t="shared" si="7"/>
        <v>998.3</v>
      </c>
      <c r="AN22" s="571">
        <f t="shared" si="7"/>
        <v>999</v>
      </c>
      <c r="AO22" s="571">
        <f t="shared" si="7"/>
        <v>995.7</v>
      </c>
      <c r="AP22" s="571">
        <f t="shared" si="7"/>
        <v>994.3</v>
      </c>
      <c r="AQ22" s="571">
        <f t="shared" si="7"/>
        <v>990.6</v>
      </c>
    </row>
    <row r="23" spans="1:43" s="6" customFormat="1" ht="20.100000000000001" customHeight="1" x14ac:dyDescent="0.25">
      <c r="A23" s="5"/>
      <c r="B23" s="586" t="s">
        <v>30</v>
      </c>
      <c r="C23" s="586" t="s">
        <v>31</v>
      </c>
      <c r="D23" s="596" t="s">
        <v>32</v>
      </c>
      <c r="E23" s="594">
        <v>4991.7</v>
      </c>
      <c r="F23" s="597" t="s">
        <v>33</v>
      </c>
      <c r="G23" s="598"/>
      <c r="H23" s="25"/>
      <c r="I23" s="26"/>
      <c r="J23" s="570">
        <f t="shared" si="5"/>
        <v>5051.6000000000004</v>
      </c>
      <c r="K23" s="5"/>
      <c r="L23" s="95"/>
      <c r="M23" s="571"/>
      <c r="N23" s="571">
        <f t="shared" si="6"/>
        <v>4991.7</v>
      </c>
      <c r="O23" s="571">
        <f t="shared" ref="O23:AD36" si="8">IF($N23="","",ROUND($N23+$N23*O$21,1))</f>
        <v>5096.5</v>
      </c>
      <c r="P23" s="571">
        <f t="shared" si="7"/>
        <v>5051.6000000000004</v>
      </c>
      <c r="Q23" s="571">
        <f t="shared" si="7"/>
        <v>5066.6000000000004</v>
      </c>
      <c r="R23" s="571">
        <f t="shared" si="7"/>
        <v>5061.6000000000004</v>
      </c>
      <c r="S23" s="571">
        <f t="shared" si="7"/>
        <v>5091.5</v>
      </c>
      <c r="T23" s="571">
        <f t="shared" si="7"/>
        <v>5086.5</v>
      </c>
      <c r="U23" s="571">
        <f t="shared" si="7"/>
        <v>5081.6000000000004</v>
      </c>
      <c r="V23" s="571">
        <f t="shared" si="7"/>
        <v>5076.6000000000004</v>
      </c>
      <c r="W23" s="571">
        <f t="shared" si="7"/>
        <v>5056.6000000000004</v>
      </c>
      <c r="X23" s="571">
        <f t="shared" si="7"/>
        <v>5111.5</v>
      </c>
      <c r="Y23" s="571">
        <f t="shared" si="7"/>
        <v>5106.5</v>
      </c>
      <c r="Z23" s="571">
        <f t="shared" si="7"/>
        <v>5071.6000000000004</v>
      </c>
      <c r="AA23" s="571">
        <f t="shared" si="7"/>
        <v>5101.5</v>
      </c>
      <c r="AB23" s="571">
        <f t="shared" si="7"/>
        <v>5116.5</v>
      </c>
      <c r="AC23" s="571">
        <f t="shared" si="7"/>
        <v>5146.3999999999996</v>
      </c>
      <c r="AD23" s="571">
        <f t="shared" si="7"/>
        <v>5126.5</v>
      </c>
      <c r="AE23" s="571">
        <f t="shared" si="7"/>
        <v>5089</v>
      </c>
      <c r="AF23" s="571">
        <f t="shared" si="7"/>
        <v>5116.5</v>
      </c>
      <c r="AG23" s="571">
        <f t="shared" si="7"/>
        <v>5161.3999999999996</v>
      </c>
      <c r="AH23" s="571">
        <f t="shared" si="7"/>
        <v>5115.5</v>
      </c>
      <c r="AI23" s="571">
        <f t="shared" si="7"/>
        <v>5090.5</v>
      </c>
      <c r="AJ23" s="571">
        <f t="shared" si="7"/>
        <v>5079.1000000000004</v>
      </c>
      <c r="AK23" s="571">
        <f t="shared" si="7"/>
        <v>5082.5</v>
      </c>
      <c r="AL23" s="571">
        <f t="shared" si="7"/>
        <v>5117.5</v>
      </c>
      <c r="AM23" s="571">
        <f t="shared" si="7"/>
        <v>5148.8999999999996</v>
      </c>
      <c r="AN23" s="571">
        <f t="shared" si="7"/>
        <v>5152.3999999999996</v>
      </c>
      <c r="AO23" s="571">
        <f t="shared" si="7"/>
        <v>5135.5</v>
      </c>
      <c r="AP23" s="571">
        <f t="shared" si="7"/>
        <v>5128.5</v>
      </c>
      <c r="AQ23" s="571">
        <f t="shared" si="7"/>
        <v>5109.5</v>
      </c>
    </row>
    <row r="24" spans="1:43" s="6" customFormat="1" ht="20.100000000000001" customHeight="1" x14ac:dyDescent="0.25">
      <c r="A24" s="5"/>
      <c r="B24" s="586" t="s">
        <v>34</v>
      </c>
      <c r="C24" s="586" t="s">
        <v>35</v>
      </c>
      <c r="D24" s="593" t="s">
        <v>36</v>
      </c>
      <c r="E24" s="594">
        <v>427.1</v>
      </c>
      <c r="F24" s="597" t="s">
        <v>33</v>
      </c>
      <c r="G24" s="598"/>
      <c r="H24" s="25"/>
      <c r="I24" s="26"/>
      <c r="J24" s="570">
        <f t="shared" si="5"/>
        <v>432.2</v>
      </c>
      <c r="K24" s="5"/>
      <c r="L24" s="95"/>
      <c r="M24" s="571"/>
      <c r="N24" s="571">
        <f t="shared" si="6"/>
        <v>427.1</v>
      </c>
      <c r="O24" s="571">
        <f t="shared" si="8"/>
        <v>436.1</v>
      </c>
      <c r="P24" s="571">
        <f t="shared" si="7"/>
        <v>432.2</v>
      </c>
      <c r="Q24" s="571">
        <f t="shared" si="7"/>
        <v>433.5</v>
      </c>
      <c r="R24" s="571">
        <f t="shared" si="7"/>
        <v>433.1</v>
      </c>
      <c r="S24" s="571">
        <f t="shared" si="7"/>
        <v>435.6</v>
      </c>
      <c r="T24" s="571">
        <f t="shared" si="7"/>
        <v>435.2</v>
      </c>
      <c r="U24" s="571">
        <f t="shared" si="7"/>
        <v>434.8</v>
      </c>
      <c r="V24" s="571">
        <f t="shared" si="7"/>
        <v>434.4</v>
      </c>
      <c r="W24" s="571">
        <f t="shared" si="7"/>
        <v>432.7</v>
      </c>
      <c r="X24" s="571">
        <f t="shared" si="7"/>
        <v>437.4</v>
      </c>
      <c r="Y24" s="571">
        <f t="shared" si="7"/>
        <v>436.9</v>
      </c>
      <c r="Z24" s="571">
        <f t="shared" si="7"/>
        <v>433.9</v>
      </c>
      <c r="AA24" s="571">
        <f t="shared" si="7"/>
        <v>436.5</v>
      </c>
      <c r="AB24" s="571">
        <f t="shared" si="7"/>
        <v>437.8</v>
      </c>
      <c r="AC24" s="571">
        <f t="shared" si="7"/>
        <v>440.3</v>
      </c>
      <c r="AD24" s="571">
        <f t="shared" si="7"/>
        <v>438.6</v>
      </c>
      <c r="AE24" s="571">
        <f t="shared" si="7"/>
        <v>435.4</v>
      </c>
      <c r="AF24" s="571">
        <f t="shared" si="7"/>
        <v>437.8</v>
      </c>
      <c r="AG24" s="571">
        <f t="shared" si="7"/>
        <v>441.6</v>
      </c>
      <c r="AH24" s="571">
        <f t="shared" si="7"/>
        <v>437.7</v>
      </c>
      <c r="AI24" s="571">
        <f t="shared" si="7"/>
        <v>435.6</v>
      </c>
      <c r="AJ24" s="571">
        <f t="shared" si="7"/>
        <v>434.6</v>
      </c>
      <c r="AK24" s="571">
        <f t="shared" si="7"/>
        <v>434.9</v>
      </c>
      <c r="AL24" s="571">
        <f t="shared" si="7"/>
        <v>437.9</v>
      </c>
      <c r="AM24" s="571">
        <f t="shared" si="7"/>
        <v>440.6</v>
      </c>
      <c r="AN24" s="571">
        <f t="shared" si="7"/>
        <v>440.9</v>
      </c>
      <c r="AO24" s="571">
        <f t="shared" si="7"/>
        <v>439.4</v>
      </c>
      <c r="AP24" s="571">
        <f t="shared" si="7"/>
        <v>438.8</v>
      </c>
      <c r="AQ24" s="571">
        <f t="shared" si="7"/>
        <v>437.2</v>
      </c>
    </row>
    <row r="25" spans="1:43" s="6" customFormat="1" ht="20.100000000000001" customHeight="1" x14ac:dyDescent="0.25">
      <c r="A25" s="5"/>
      <c r="B25" s="586" t="s">
        <v>37</v>
      </c>
      <c r="C25" s="586" t="s">
        <v>38</v>
      </c>
      <c r="D25" s="593" t="s">
        <v>39</v>
      </c>
      <c r="E25" s="594">
        <v>665.9</v>
      </c>
      <c r="F25" s="597" t="s">
        <v>40</v>
      </c>
      <c r="G25" s="598"/>
      <c r="H25" s="25"/>
      <c r="I25" s="26"/>
      <c r="J25" s="570">
        <f t="shared" si="5"/>
        <v>673.9</v>
      </c>
      <c r="K25" s="5"/>
      <c r="L25" s="95"/>
      <c r="M25" s="571"/>
      <c r="N25" s="571">
        <f t="shared" si="6"/>
        <v>665.9</v>
      </c>
      <c r="O25" s="571">
        <f t="shared" si="8"/>
        <v>679.9</v>
      </c>
      <c r="P25" s="571">
        <f t="shared" si="7"/>
        <v>673.9</v>
      </c>
      <c r="Q25" s="571">
        <f t="shared" si="7"/>
        <v>675.9</v>
      </c>
      <c r="R25" s="571">
        <f t="shared" si="7"/>
        <v>675.2</v>
      </c>
      <c r="S25" s="571">
        <f t="shared" si="7"/>
        <v>679.2</v>
      </c>
      <c r="T25" s="571">
        <f t="shared" si="7"/>
        <v>678.6</v>
      </c>
      <c r="U25" s="571">
        <f t="shared" si="7"/>
        <v>677.9</v>
      </c>
      <c r="V25" s="571">
        <f t="shared" si="7"/>
        <v>677.2</v>
      </c>
      <c r="W25" s="571">
        <f t="shared" si="7"/>
        <v>674.6</v>
      </c>
      <c r="X25" s="571">
        <f t="shared" si="7"/>
        <v>681.9</v>
      </c>
      <c r="Y25" s="571">
        <f t="shared" si="7"/>
        <v>681.2</v>
      </c>
      <c r="Z25" s="571">
        <f t="shared" si="7"/>
        <v>676.6</v>
      </c>
      <c r="AA25" s="571">
        <f t="shared" si="7"/>
        <v>680.5</v>
      </c>
      <c r="AB25" s="571">
        <f t="shared" si="7"/>
        <v>682.5</v>
      </c>
      <c r="AC25" s="571">
        <f t="shared" si="7"/>
        <v>686.5</v>
      </c>
      <c r="AD25" s="571">
        <f t="shared" si="7"/>
        <v>683.9</v>
      </c>
      <c r="AE25" s="571">
        <f t="shared" si="7"/>
        <v>678.9</v>
      </c>
      <c r="AF25" s="571">
        <f t="shared" si="7"/>
        <v>682.5</v>
      </c>
      <c r="AG25" s="571">
        <f t="shared" si="7"/>
        <v>688.5</v>
      </c>
      <c r="AH25" s="571">
        <f t="shared" si="7"/>
        <v>682.4</v>
      </c>
      <c r="AI25" s="571">
        <f t="shared" si="7"/>
        <v>679.1</v>
      </c>
      <c r="AJ25" s="571">
        <f t="shared" si="7"/>
        <v>677.6</v>
      </c>
      <c r="AK25" s="571">
        <f t="shared" si="7"/>
        <v>678</v>
      </c>
      <c r="AL25" s="571">
        <f t="shared" si="7"/>
        <v>682.7</v>
      </c>
      <c r="AM25" s="571">
        <f t="shared" si="7"/>
        <v>686.9</v>
      </c>
      <c r="AN25" s="571">
        <f t="shared" si="7"/>
        <v>687.3</v>
      </c>
      <c r="AO25" s="571">
        <f t="shared" si="7"/>
        <v>685.1</v>
      </c>
      <c r="AP25" s="571">
        <f t="shared" si="7"/>
        <v>684.1</v>
      </c>
      <c r="AQ25" s="571">
        <f t="shared" si="7"/>
        <v>681.6</v>
      </c>
    </row>
    <row r="26" spans="1:43" s="6" customFormat="1" ht="20.100000000000001" customHeight="1" x14ac:dyDescent="0.25">
      <c r="A26" s="5"/>
      <c r="B26" s="586" t="s">
        <v>41</v>
      </c>
      <c r="C26" s="586" t="s">
        <v>42</v>
      </c>
      <c r="D26" s="596" t="s">
        <v>43</v>
      </c>
      <c r="E26" s="594">
        <v>665.9</v>
      </c>
      <c r="F26" s="599" t="s">
        <v>33</v>
      </c>
      <c r="G26" s="600"/>
      <c r="H26" s="25"/>
      <c r="I26" s="26"/>
      <c r="J26" s="570">
        <f t="shared" si="5"/>
        <v>673.9</v>
      </c>
      <c r="K26" s="5"/>
      <c r="L26" s="95"/>
      <c r="M26" s="571"/>
      <c r="N26" s="571">
        <f t="shared" si="6"/>
        <v>665.9</v>
      </c>
      <c r="O26" s="571">
        <f t="shared" si="8"/>
        <v>679.9</v>
      </c>
      <c r="P26" s="571">
        <f t="shared" si="7"/>
        <v>673.9</v>
      </c>
      <c r="Q26" s="571">
        <f t="shared" si="7"/>
        <v>675.9</v>
      </c>
      <c r="R26" s="571">
        <f t="shared" si="7"/>
        <v>675.2</v>
      </c>
      <c r="S26" s="571">
        <f t="shared" si="7"/>
        <v>679.2</v>
      </c>
      <c r="T26" s="571">
        <f t="shared" si="7"/>
        <v>678.6</v>
      </c>
      <c r="U26" s="571">
        <f t="shared" si="7"/>
        <v>677.9</v>
      </c>
      <c r="V26" s="571">
        <f t="shared" si="7"/>
        <v>677.2</v>
      </c>
      <c r="W26" s="571">
        <f t="shared" si="7"/>
        <v>674.6</v>
      </c>
      <c r="X26" s="571">
        <f t="shared" si="7"/>
        <v>681.9</v>
      </c>
      <c r="Y26" s="571">
        <f t="shared" si="7"/>
        <v>681.2</v>
      </c>
      <c r="Z26" s="571">
        <f t="shared" si="7"/>
        <v>676.6</v>
      </c>
      <c r="AA26" s="571">
        <f t="shared" si="7"/>
        <v>680.5</v>
      </c>
      <c r="AB26" s="571">
        <f t="shared" si="7"/>
        <v>682.5</v>
      </c>
      <c r="AC26" s="571">
        <f t="shared" si="7"/>
        <v>686.5</v>
      </c>
      <c r="AD26" s="571">
        <f t="shared" si="7"/>
        <v>683.9</v>
      </c>
      <c r="AE26" s="571">
        <f t="shared" si="7"/>
        <v>678.9</v>
      </c>
      <c r="AF26" s="571">
        <f t="shared" si="7"/>
        <v>682.5</v>
      </c>
      <c r="AG26" s="571">
        <f t="shared" si="7"/>
        <v>688.5</v>
      </c>
      <c r="AH26" s="571">
        <f t="shared" si="7"/>
        <v>682.4</v>
      </c>
      <c r="AI26" s="571">
        <f t="shared" si="7"/>
        <v>679.1</v>
      </c>
      <c r="AJ26" s="571">
        <f t="shared" si="7"/>
        <v>677.6</v>
      </c>
      <c r="AK26" s="571">
        <f t="shared" si="7"/>
        <v>678</v>
      </c>
      <c r="AL26" s="571">
        <f t="shared" si="7"/>
        <v>682.7</v>
      </c>
      <c r="AM26" s="571">
        <f t="shared" si="7"/>
        <v>686.9</v>
      </c>
      <c r="AN26" s="571">
        <f t="shared" si="7"/>
        <v>687.3</v>
      </c>
      <c r="AO26" s="571">
        <f t="shared" si="7"/>
        <v>685.1</v>
      </c>
      <c r="AP26" s="571">
        <f t="shared" si="7"/>
        <v>684.1</v>
      </c>
      <c r="AQ26" s="571">
        <f t="shared" si="7"/>
        <v>681.6</v>
      </c>
    </row>
    <row r="27" spans="1:43" s="6" customFormat="1" ht="20.100000000000001" customHeight="1" x14ac:dyDescent="0.25">
      <c r="A27" s="5"/>
      <c r="B27" s="586" t="s">
        <v>44</v>
      </c>
      <c r="C27" s="586" t="s">
        <v>45</v>
      </c>
      <c r="D27" s="593" t="s">
        <v>46</v>
      </c>
      <c r="E27" s="594">
        <v>12877.7</v>
      </c>
      <c r="F27" s="599" t="s">
        <v>33</v>
      </c>
      <c r="G27" s="600"/>
      <c r="H27" s="25"/>
      <c r="I27" s="26"/>
      <c r="J27" s="570">
        <f t="shared" si="5"/>
        <v>13032.2</v>
      </c>
      <c r="K27" s="5"/>
      <c r="L27" s="95"/>
      <c r="M27" s="571"/>
      <c r="N27" s="571">
        <f t="shared" si="6"/>
        <v>12877.7</v>
      </c>
      <c r="O27" s="571">
        <f t="shared" si="8"/>
        <v>13148.1</v>
      </c>
      <c r="P27" s="571">
        <f t="shared" si="7"/>
        <v>13032.2</v>
      </c>
      <c r="Q27" s="571">
        <f t="shared" si="7"/>
        <v>13070.9</v>
      </c>
      <c r="R27" s="571">
        <f t="shared" si="7"/>
        <v>13058</v>
      </c>
      <c r="S27" s="571">
        <f t="shared" si="7"/>
        <v>13135.3</v>
      </c>
      <c r="T27" s="571">
        <f t="shared" si="7"/>
        <v>13122.4</v>
      </c>
      <c r="U27" s="571">
        <f t="shared" si="7"/>
        <v>13109.5</v>
      </c>
      <c r="V27" s="571">
        <f t="shared" si="7"/>
        <v>13096.6</v>
      </c>
      <c r="W27" s="571">
        <f t="shared" si="7"/>
        <v>13045.1</v>
      </c>
      <c r="X27" s="571">
        <f t="shared" si="7"/>
        <v>13186.8</v>
      </c>
      <c r="Y27" s="571">
        <f t="shared" si="7"/>
        <v>13173.9</v>
      </c>
      <c r="Z27" s="571">
        <f t="shared" si="7"/>
        <v>13083.7</v>
      </c>
      <c r="AA27" s="571">
        <f t="shared" si="7"/>
        <v>13161</v>
      </c>
      <c r="AB27" s="571">
        <f t="shared" si="7"/>
        <v>13199.6</v>
      </c>
      <c r="AC27" s="571">
        <f t="shared" si="7"/>
        <v>13276.9</v>
      </c>
      <c r="AD27" s="571">
        <f t="shared" si="7"/>
        <v>13225.4</v>
      </c>
      <c r="AE27" s="571">
        <f t="shared" si="7"/>
        <v>13128.8</v>
      </c>
      <c r="AF27" s="571">
        <f t="shared" si="7"/>
        <v>13199.6</v>
      </c>
      <c r="AG27" s="571">
        <f t="shared" si="7"/>
        <v>13315.5</v>
      </c>
      <c r="AH27" s="571">
        <f t="shared" si="7"/>
        <v>13197.1</v>
      </c>
      <c r="AI27" s="571">
        <f t="shared" si="7"/>
        <v>13132.7</v>
      </c>
      <c r="AJ27" s="571">
        <f t="shared" si="7"/>
        <v>13103.1</v>
      </c>
      <c r="AK27" s="571">
        <f t="shared" si="7"/>
        <v>13112.1</v>
      </c>
      <c r="AL27" s="571">
        <f t="shared" si="7"/>
        <v>13202.2</v>
      </c>
      <c r="AM27" s="571">
        <f t="shared" si="7"/>
        <v>13283.3</v>
      </c>
      <c r="AN27" s="571">
        <f t="shared" si="7"/>
        <v>13292.4</v>
      </c>
      <c r="AO27" s="571">
        <f t="shared" si="7"/>
        <v>13248.6</v>
      </c>
      <c r="AP27" s="571">
        <f t="shared" si="7"/>
        <v>13230.5</v>
      </c>
      <c r="AQ27" s="571">
        <f t="shared" si="7"/>
        <v>13181.6</v>
      </c>
    </row>
    <row r="28" spans="1:43" s="6" customFormat="1" ht="20.100000000000001" customHeight="1" x14ac:dyDescent="0.25">
      <c r="A28" s="5"/>
      <c r="B28" s="586" t="s">
        <v>47</v>
      </c>
      <c r="C28" s="586" t="s">
        <v>48</v>
      </c>
      <c r="D28" s="596" t="s">
        <v>49</v>
      </c>
      <c r="E28" s="594">
        <v>3493.4</v>
      </c>
      <c r="F28" s="599" t="s">
        <v>29</v>
      </c>
      <c r="G28" s="600"/>
      <c r="H28" s="25"/>
      <c r="I28" s="26"/>
      <c r="J28" s="570">
        <f t="shared" si="5"/>
        <v>3535.3</v>
      </c>
      <c r="K28" s="5"/>
      <c r="L28" s="95"/>
      <c r="M28" s="571"/>
      <c r="N28" s="571">
        <f t="shared" si="6"/>
        <v>3493.4</v>
      </c>
      <c r="O28" s="571">
        <f t="shared" si="8"/>
        <v>3566.8</v>
      </c>
      <c r="P28" s="571">
        <f t="shared" si="7"/>
        <v>3535.3</v>
      </c>
      <c r="Q28" s="571">
        <f t="shared" si="7"/>
        <v>3545.8</v>
      </c>
      <c r="R28" s="571">
        <f t="shared" si="7"/>
        <v>3542.3</v>
      </c>
      <c r="S28" s="571">
        <f t="shared" si="7"/>
        <v>3563.3</v>
      </c>
      <c r="T28" s="571">
        <f t="shared" si="7"/>
        <v>3559.8</v>
      </c>
      <c r="U28" s="571">
        <f t="shared" si="7"/>
        <v>3556.3</v>
      </c>
      <c r="V28" s="571">
        <f t="shared" si="7"/>
        <v>3552.8</v>
      </c>
      <c r="W28" s="571">
        <f t="shared" si="7"/>
        <v>3538.8</v>
      </c>
      <c r="X28" s="571">
        <f t="shared" si="7"/>
        <v>3577.2</v>
      </c>
      <c r="Y28" s="571">
        <f t="shared" si="7"/>
        <v>3573.7</v>
      </c>
      <c r="Z28" s="571">
        <f t="shared" si="7"/>
        <v>3549.3</v>
      </c>
      <c r="AA28" s="571">
        <f t="shared" si="7"/>
        <v>3570.3</v>
      </c>
      <c r="AB28" s="571">
        <f t="shared" si="7"/>
        <v>3580.7</v>
      </c>
      <c r="AC28" s="571">
        <f t="shared" si="7"/>
        <v>3601.7</v>
      </c>
      <c r="AD28" s="571">
        <f t="shared" si="7"/>
        <v>3587.7</v>
      </c>
      <c r="AE28" s="571">
        <f t="shared" si="7"/>
        <v>3561.5</v>
      </c>
      <c r="AF28" s="571">
        <f t="shared" si="7"/>
        <v>3580.7</v>
      </c>
      <c r="AG28" s="571">
        <f t="shared" si="7"/>
        <v>3612.2</v>
      </c>
      <c r="AH28" s="571">
        <f t="shared" si="7"/>
        <v>3580</v>
      </c>
      <c r="AI28" s="571">
        <f t="shared" si="7"/>
        <v>3562.6</v>
      </c>
      <c r="AJ28" s="571">
        <f t="shared" si="7"/>
        <v>3554.5</v>
      </c>
      <c r="AK28" s="571">
        <f t="shared" si="7"/>
        <v>3557</v>
      </c>
      <c r="AL28" s="571">
        <f t="shared" si="7"/>
        <v>3581.4</v>
      </c>
      <c r="AM28" s="571">
        <f t="shared" si="7"/>
        <v>3603.4</v>
      </c>
      <c r="AN28" s="571">
        <f t="shared" si="7"/>
        <v>3605.9</v>
      </c>
      <c r="AO28" s="571">
        <f t="shared" si="7"/>
        <v>3594</v>
      </c>
      <c r="AP28" s="571">
        <f t="shared" si="7"/>
        <v>3589.1</v>
      </c>
      <c r="AQ28" s="571">
        <f t="shared" si="7"/>
        <v>3575.8</v>
      </c>
    </row>
    <row r="29" spans="1:43" s="6" customFormat="1" ht="20.100000000000001" customHeight="1" x14ac:dyDescent="0.25">
      <c r="A29" s="5"/>
      <c r="B29" s="586" t="s">
        <v>50</v>
      </c>
      <c r="C29" s="586" t="s">
        <v>51</v>
      </c>
      <c r="D29" s="593" t="s">
        <v>52</v>
      </c>
      <c r="E29" s="594">
        <v>10664.5</v>
      </c>
      <c r="F29" s="599" t="s">
        <v>33</v>
      </c>
      <c r="G29" s="600"/>
      <c r="H29" s="25"/>
      <c r="I29" s="26"/>
      <c r="J29" s="570">
        <f t="shared" si="5"/>
        <v>10792.5</v>
      </c>
      <c r="K29" s="5"/>
      <c r="L29" s="95"/>
      <c r="M29" s="571"/>
      <c r="N29" s="571">
        <f t="shared" si="6"/>
        <v>10664.5</v>
      </c>
      <c r="O29" s="571">
        <f t="shared" si="8"/>
        <v>10888.5</v>
      </c>
      <c r="P29" s="571">
        <f t="shared" si="7"/>
        <v>10792.5</v>
      </c>
      <c r="Q29" s="571">
        <f t="shared" si="7"/>
        <v>10824.5</v>
      </c>
      <c r="R29" s="571">
        <f t="shared" si="7"/>
        <v>10813.8</v>
      </c>
      <c r="S29" s="571">
        <f t="shared" si="7"/>
        <v>10877.8</v>
      </c>
      <c r="T29" s="571">
        <f t="shared" si="7"/>
        <v>10867.1</v>
      </c>
      <c r="U29" s="571">
        <f t="shared" si="7"/>
        <v>10856.5</v>
      </c>
      <c r="V29" s="571">
        <f t="shared" si="7"/>
        <v>10845.8</v>
      </c>
      <c r="W29" s="571">
        <f t="shared" si="7"/>
        <v>10803.1</v>
      </c>
      <c r="X29" s="571">
        <f t="shared" si="7"/>
        <v>10920.4</v>
      </c>
      <c r="Y29" s="571">
        <f t="shared" si="7"/>
        <v>10909.8</v>
      </c>
      <c r="Z29" s="571">
        <f t="shared" si="7"/>
        <v>10835.1</v>
      </c>
      <c r="AA29" s="571">
        <f t="shared" si="7"/>
        <v>10899.1</v>
      </c>
      <c r="AB29" s="571">
        <f t="shared" si="7"/>
        <v>10931.1</v>
      </c>
      <c r="AC29" s="571">
        <f t="shared" si="7"/>
        <v>10995.1</v>
      </c>
      <c r="AD29" s="571">
        <f t="shared" si="7"/>
        <v>10952.4</v>
      </c>
      <c r="AE29" s="571">
        <f t="shared" si="7"/>
        <v>10872.5</v>
      </c>
      <c r="AF29" s="571">
        <f t="shared" si="7"/>
        <v>10931.1</v>
      </c>
      <c r="AG29" s="571">
        <f t="shared" si="7"/>
        <v>11027.1</v>
      </c>
      <c r="AH29" s="571">
        <f t="shared" si="7"/>
        <v>10929</v>
      </c>
      <c r="AI29" s="571">
        <f t="shared" si="7"/>
        <v>10875.7</v>
      </c>
      <c r="AJ29" s="571">
        <f t="shared" si="7"/>
        <v>10851.1</v>
      </c>
      <c r="AK29" s="571">
        <f t="shared" si="7"/>
        <v>10858.6</v>
      </c>
      <c r="AL29" s="571">
        <f t="shared" si="7"/>
        <v>10933.2</v>
      </c>
      <c r="AM29" s="571">
        <f t="shared" si="7"/>
        <v>11000.4</v>
      </c>
      <c r="AN29" s="571">
        <f t="shared" si="7"/>
        <v>11007.9</v>
      </c>
      <c r="AO29" s="571">
        <f t="shared" si="7"/>
        <v>10971.6</v>
      </c>
      <c r="AP29" s="571">
        <f t="shared" si="7"/>
        <v>10956.7</v>
      </c>
      <c r="AQ29" s="571">
        <f t="shared" si="7"/>
        <v>10916.2</v>
      </c>
    </row>
    <row r="30" spans="1:43" s="6" customFormat="1" ht="20.100000000000001" customHeight="1" x14ac:dyDescent="0.25">
      <c r="A30" s="5"/>
      <c r="B30" s="592" t="s">
        <v>53</v>
      </c>
      <c r="C30" s="592" t="s">
        <v>54</v>
      </c>
      <c r="D30" s="601" t="s">
        <v>55</v>
      </c>
      <c r="E30" s="602"/>
      <c r="F30" s="603"/>
      <c r="G30" s="604"/>
      <c r="H30" s="25"/>
      <c r="I30" s="26"/>
      <c r="J30" s="570"/>
      <c r="K30" s="5"/>
      <c r="L30" s="95"/>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row>
    <row r="31" spans="1:43" s="6" customFormat="1" ht="20.100000000000001" customHeight="1" x14ac:dyDescent="0.25">
      <c r="A31" s="5"/>
      <c r="B31" s="605" t="s">
        <v>53</v>
      </c>
      <c r="C31" s="605" t="s">
        <v>54</v>
      </c>
      <c r="D31" s="606" t="s">
        <v>56</v>
      </c>
      <c r="E31" s="607">
        <v>1323.7</v>
      </c>
      <c r="F31" s="608" t="s">
        <v>33</v>
      </c>
      <c r="G31" s="609"/>
      <c r="H31" s="25"/>
      <c r="I31" s="26"/>
      <c r="J31" s="570">
        <f>IF($E31="","",VLOOKUP($E31,DB,$E$4,0))</f>
        <v>1339.6</v>
      </c>
      <c r="K31" s="5"/>
      <c r="L31" s="95"/>
      <c r="M31" s="571"/>
      <c r="N31" s="571">
        <f>IF(E31="","",E31)</f>
        <v>1323.7</v>
      </c>
      <c r="O31" s="571">
        <f t="shared" si="8"/>
        <v>1351.5</v>
      </c>
      <c r="P31" s="571">
        <f t="shared" si="7"/>
        <v>1339.6</v>
      </c>
      <c r="Q31" s="571">
        <f t="shared" si="7"/>
        <v>1343.6</v>
      </c>
      <c r="R31" s="571">
        <f t="shared" si="7"/>
        <v>1342.2</v>
      </c>
      <c r="S31" s="571">
        <f t="shared" si="7"/>
        <v>1350.2</v>
      </c>
      <c r="T31" s="571">
        <f t="shared" si="7"/>
        <v>1348.9</v>
      </c>
      <c r="U31" s="571">
        <f t="shared" si="7"/>
        <v>1347.5</v>
      </c>
      <c r="V31" s="571">
        <f t="shared" si="7"/>
        <v>1346.2</v>
      </c>
      <c r="W31" s="571">
        <f t="shared" si="7"/>
        <v>1340.9</v>
      </c>
      <c r="X31" s="571">
        <f t="shared" si="7"/>
        <v>1355.5</v>
      </c>
      <c r="Y31" s="571">
        <f t="shared" si="7"/>
        <v>1354.1</v>
      </c>
      <c r="Z31" s="571">
        <f t="shared" si="7"/>
        <v>1344.9</v>
      </c>
      <c r="AA31" s="571">
        <f t="shared" si="7"/>
        <v>1352.8</v>
      </c>
      <c r="AB31" s="571">
        <f t="shared" si="7"/>
        <v>1356.8</v>
      </c>
      <c r="AC31" s="571">
        <f t="shared" si="7"/>
        <v>1364.7</v>
      </c>
      <c r="AD31" s="571">
        <f t="shared" si="7"/>
        <v>1359.4</v>
      </c>
      <c r="AE31" s="571">
        <f t="shared" si="7"/>
        <v>1349.5</v>
      </c>
      <c r="AF31" s="571">
        <f t="shared" si="7"/>
        <v>1356.8</v>
      </c>
      <c r="AG31" s="571">
        <f t="shared" si="7"/>
        <v>1368.7</v>
      </c>
      <c r="AH31" s="571">
        <f t="shared" si="7"/>
        <v>1356.5</v>
      </c>
      <c r="AI31" s="571">
        <f t="shared" si="7"/>
        <v>1349.9</v>
      </c>
      <c r="AJ31" s="571">
        <f t="shared" si="7"/>
        <v>1346.9</v>
      </c>
      <c r="AK31" s="571">
        <f t="shared" si="7"/>
        <v>1347.8</v>
      </c>
      <c r="AL31" s="571">
        <f t="shared" si="7"/>
        <v>1357.1</v>
      </c>
      <c r="AM31" s="571">
        <f t="shared" si="7"/>
        <v>1365.4</v>
      </c>
      <c r="AN31" s="571">
        <f t="shared" si="7"/>
        <v>1366.3</v>
      </c>
      <c r="AO31" s="571">
        <f t="shared" si="7"/>
        <v>1361.8</v>
      </c>
      <c r="AP31" s="571">
        <f t="shared" si="7"/>
        <v>1360</v>
      </c>
      <c r="AQ31" s="571">
        <f t="shared" si="7"/>
        <v>1354.9</v>
      </c>
    </row>
    <row r="32" spans="1:43" s="6" customFormat="1" ht="20.100000000000001" customHeight="1" x14ac:dyDescent="0.25">
      <c r="A32" s="5"/>
      <c r="B32" s="610" t="s">
        <v>53</v>
      </c>
      <c r="C32" s="610" t="s">
        <v>54</v>
      </c>
      <c r="D32" s="611" t="s">
        <v>57</v>
      </c>
      <c r="E32" s="612">
        <v>551.5</v>
      </c>
      <c r="F32" s="613" t="s">
        <v>33</v>
      </c>
      <c r="G32" s="614"/>
      <c r="H32" s="25"/>
      <c r="I32" s="26"/>
      <c r="J32" s="570">
        <f>IF($E32="","",VLOOKUP($E32,DB,$E$4,0))</f>
        <v>558.1</v>
      </c>
      <c r="K32" s="5"/>
      <c r="L32" s="95"/>
      <c r="M32" s="571"/>
      <c r="N32" s="571">
        <f>IF(E32="","",E32)</f>
        <v>551.5</v>
      </c>
      <c r="O32" s="571">
        <f t="shared" si="8"/>
        <v>563.1</v>
      </c>
      <c r="P32" s="571">
        <f t="shared" si="8"/>
        <v>558.1</v>
      </c>
      <c r="Q32" s="571">
        <f t="shared" si="8"/>
        <v>559.79999999999995</v>
      </c>
      <c r="R32" s="571">
        <f t="shared" si="8"/>
        <v>559.20000000000005</v>
      </c>
      <c r="S32" s="571">
        <f t="shared" si="8"/>
        <v>562.5</v>
      </c>
      <c r="T32" s="571">
        <f t="shared" si="8"/>
        <v>562</v>
      </c>
      <c r="U32" s="571">
        <f t="shared" si="8"/>
        <v>561.4</v>
      </c>
      <c r="V32" s="571">
        <f t="shared" si="8"/>
        <v>560.9</v>
      </c>
      <c r="W32" s="571">
        <f t="shared" si="8"/>
        <v>558.70000000000005</v>
      </c>
      <c r="X32" s="571">
        <f t="shared" si="8"/>
        <v>564.70000000000005</v>
      </c>
      <c r="Y32" s="571">
        <f t="shared" si="8"/>
        <v>564.20000000000005</v>
      </c>
      <c r="Z32" s="571">
        <f t="shared" si="8"/>
        <v>560.29999999999995</v>
      </c>
      <c r="AA32" s="571">
        <f t="shared" si="8"/>
        <v>563.6</v>
      </c>
      <c r="AB32" s="571">
        <f t="shared" si="8"/>
        <v>565.29999999999995</v>
      </c>
      <c r="AC32" s="571">
        <f t="shared" si="8"/>
        <v>568.6</v>
      </c>
      <c r="AD32" s="571">
        <f t="shared" si="8"/>
        <v>566.4</v>
      </c>
      <c r="AE32" s="571">
        <f t="shared" si="7"/>
        <v>562.29999999999995</v>
      </c>
      <c r="AF32" s="571">
        <f t="shared" si="7"/>
        <v>565.29999999999995</v>
      </c>
      <c r="AG32" s="571">
        <f t="shared" si="7"/>
        <v>570.29999999999995</v>
      </c>
      <c r="AH32" s="571">
        <f t="shared" ref="AE32:AQ36" si="9">IF($N32="","",ROUND($N32+$N32*AH$21,1))</f>
        <v>565.20000000000005</v>
      </c>
      <c r="AI32" s="571">
        <f t="shared" si="9"/>
        <v>562.4</v>
      </c>
      <c r="AJ32" s="571">
        <f t="shared" si="9"/>
        <v>561.20000000000005</v>
      </c>
      <c r="AK32" s="571">
        <f t="shared" si="9"/>
        <v>561.5</v>
      </c>
      <c r="AL32" s="571">
        <f t="shared" si="9"/>
        <v>565.4</v>
      </c>
      <c r="AM32" s="571">
        <f t="shared" si="9"/>
        <v>568.9</v>
      </c>
      <c r="AN32" s="571">
        <f t="shared" si="9"/>
        <v>569.29999999999995</v>
      </c>
      <c r="AO32" s="571">
        <f t="shared" si="9"/>
        <v>567.4</v>
      </c>
      <c r="AP32" s="571">
        <f t="shared" si="9"/>
        <v>566.6</v>
      </c>
      <c r="AQ32" s="571">
        <f t="shared" si="9"/>
        <v>564.5</v>
      </c>
    </row>
    <row r="33" spans="1:43" s="6" customFormat="1" ht="20.100000000000001" customHeight="1" x14ac:dyDescent="0.25">
      <c r="A33" s="5"/>
      <c r="B33" s="592" t="s">
        <v>58</v>
      </c>
      <c r="C33" s="592" t="s">
        <v>59</v>
      </c>
      <c r="D33" s="601" t="s">
        <v>60</v>
      </c>
      <c r="E33" s="602"/>
      <c r="F33" s="575"/>
      <c r="G33" s="576"/>
      <c r="H33" s="25"/>
      <c r="I33" s="26"/>
      <c r="J33" s="570"/>
      <c r="K33" s="5"/>
      <c r="L33" s="95"/>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row>
    <row r="34" spans="1:43" s="6" customFormat="1" ht="20.100000000000001" customHeight="1" x14ac:dyDescent="0.25">
      <c r="A34" s="5"/>
      <c r="B34" s="605"/>
      <c r="C34" s="605"/>
      <c r="D34" s="605" t="s">
        <v>61</v>
      </c>
      <c r="E34" s="607">
        <v>908.8</v>
      </c>
      <c r="F34" s="577"/>
      <c r="G34" s="578"/>
      <c r="H34" s="25"/>
      <c r="I34" s="26"/>
      <c r="J34" s="570">
        <f>IF($E34="","",VLOOKUP($E34,DB,$E$4,0))</f>
        <v>919.7</v>
      </c>
      <c r="K34" s="5"/>
      <c r="L34" s="95"/>
      <c r="M34" s="571"/>
      <c r="N34" s="571">
        <f>IF(E34="","",E34)</f>
        <v>908.8</v>
      </c>
      <c r="O34" s="571">
        <f t="shared" si="8"/>
        <v>927.9</v>
      </c>
      <c r="P34" s="571">
        <f t="shared" si="8"/>
        <v>919.7</v>
      </c>
      <c r="Q34" s="571">
        <f t="shared" si="8"/>
        <v>922.4</v>
      </c>
      <c r="R34" s="571">
        <f t="shared" si="8"/>
        <v>921.5</v>
      </c>
      <c r="S34" s="571">
        <f t="shared" si="8"/>
        <v>927</v>
      </c>
      <c r="T34" s="571">
        <f t="shared" si="8"/>
        <v>926.1</v>
      </c>
      <c r="U34" s="571">
        <f t="shared" si="8"/>
        <v>925.2</v>
      </c>
      <c r="V34" s="571">
        <f t="shared" si="8"/>
        <v>924.2</v>
      </c>
      <c r="W34" s="571">
        <f t="shared" si="8"/>
        <v>920.6</v>
      </c>
      <c r="X34" s="571">
        <f t="shared" si="8"/>
        <v>930.6</v>
      </c>
      <c r="Y34" s="571">
        <f t="shared" si="8"/>
        <v>929.7</v>
      </c>
      <c r="Z34" s="571">
        <f t="shared" si="8"/>
        <v>923.3</v>
      </c>
      <c r="AA34" s="571">
        <f t="shared" si="8"/>
        <v>928.8</v>
      </c>
      <c r="AB34" s="571">
        <f t="shared" si="8"/>
        <v>931.5</v>
      </c>
      <c r="AC34" s="571">
        <f t="shared" si="8"/>
        <v>937</v>
      </c>
      <c r="AD34" s="571">
        <f t="shared" si="8"/>
        <v>933.3</v>
      </c>
      <c r="AE34" s="571">
        <f t="shared" si="9"/>
        <v>926.5</v>
      </c>
      <c r="AF34" s="571">
        <f t="shared" si="9"/>
        <v>931.5</v>
      </c>
      <c r="AG34" s="571">
        <f t="shared" si="9"/>
        <v>939.7</v>
      </c>
      <c r="AH34" s="571">
        <f t="shared" si="9"/>
        <v>931.3</v>
      </c>
      <c r="AI34" s="571">
        <f t="shared" si="9"/>
        <v>926.8</v>
      </c>
      <c r="AJ34" s="571">
        <f t="shared" si="9"/>
        <v>924.7</v>
      </c>
      <c r="AK34" s="571">
        <f t="shared" si="9"/>
        <v>925.3</v>
      </c>
      <c r="AL34" s="571">
        <f t="shared" si="9"/>
        <v>931.7</v>
      </c>
      <c r="AM34" s="571">
        <f t="shared" si="9"/>
        <v>937.4</v>
      </c>
      <c r="AN34" s="571">
        <f t="shared" si="9"/>
        <v>938.1</v>
      </c>
      <c r="AO34" s="571">
        <f t="shared" si="9"/>
        <v>935</v>
      </c>
      <c r="AP34" s="571">
        <f t="shared" si="9"/>
        <v>933.7</v>
      </c>
      <c r="AQ34" s="571">
        <f t="shared" si="9"/>
        <v>930.2</v>
      </c>
    </row>
    <row r="35" spans="1:43" s="6" customFormat="1" ht="20.100000000000001" customHeight="1" x14ac:dyDescent="0.25">
      <c r="A35" s="5"/>
      <c r="B35" s="605"/>
      <c r="C35" s="605"/>
      <c r="D35" s="605" t="s">
        <v>62</v>
      </c>
      <c r="E35" s="607">
        <v>330.9</v>
      </c>
      <c r="F35" s="577"/>
      <c r="G35" s="579">
        <f>SUM(E34:E36)</f>
        <v>1498.7999999999997</v>
      </c>
      <c r="H35" s="25"/>
      <c r="I35" s="26"/>
      <c r="J35" s="570">
        <f>IF($E35="","",VLOOKUP($E35,DB,$E$4,0))</f>
        <v>334.9</v>
      </c>
      <c r="K35" s="5"/>
      <c r="L35" s="95"/>
      <c r="M35" s="571"/>
      <c r="N35" s="571">
        <f>IF(E35="","",E35)</f>
        <v>330.9</v>
      </c>
      <c r="O35" s="571">
        <f t="shared" si="8"/>
        <v>337.8</v>
      </c>
      <c r="P35" s="571">
        <f t="shared" si="8"/>
        <v>334.9</v>
      </c>
      <c r="Q35" s="571">
        <f t="shared" si="8"/>
        <v>335.9</v>
      </c>
      <c r="R35" s="571">
        <f t="shared" si="8"/>
        <v>335.5</v>
      </c>
      <c r="S35" s="571">
        <f t="shared" si="8"/>
        <v>337.5</v>
      </c>
      <c r="T35" s="571">
        <f t="shared" si="8"/>
        <v>337.2</v>
      </c>
      <c r="U35" s="571">
        <f t="shared" si="8"/>
        <v>336.9</v>
      </c>
      <c r="V35" s="571">
        <f t="shared" si="8"/>
        <v>336.5</v>
      </c>
      <c r="W35" s="571">
        <f t="shared" si="8"/>
        <v>335.2</v>
      </c>
      <c r="X35" s="571">
        <f t="shared" si="8"/>
        <v>338.8</v>
      </c>
      <c r="Y35" s="571">
        <f t="shared" si="8"/>
        <v>338.5</v>
      </c>
      <c r="Z35" s="571">
        <f t="shared" si="8"/>
        <v>336.2</v>
      </c>
      <c r="AA35" s="571">
        <f t="shared" si="8"/>
        <v>338.2</v>
      </c>
      <c r="AB35" s="571">
        <f t="shared" si="8"/>
        <v>339.2</v>
      </c>
      <c r="AC35" s="571">
        <f t="shared" si="8"/>
        <v>341.2</v>
      </c>
      <c r="AD35" s="571">
        <f t="shared" si="8"/>
        <v>339.8</v>
      </c>
      <c r="AE35" s="571">
        <f t="shared" si="9"/>
        <v>337.4</v>
      </c>
      <c r="AF35" s="571">
        <f t="shared" si="9"/>
        <v>339.2</v>
      </c>
      <c r="AG35" s="571">
        <f t="shared" si="9"/>
        <v>342.2</v>
      </c>
      <c r="AH35" s="571">
        <f t="shared" si="9"/>
        <v>339.1</v>
      </c>
      <c r="AI35" s="571">
        <f t="shared" si="9"/>
        <v>337.5</v>
      </c>
      <c r="AJ35" s="571">
        <f t="shared" si="9"/>
        <v>336.7</v>
      </c>
      <c r="AK35" s="571">
        <f t="shared" si="9"/>
        <v>336.9</v>
      </c>
      <c r="AL35" s="571">
        <f t="shared" si="9"/>
        <v>339.2</v>
      </c>
      <c r="AM35" s="571">
        <f t="shared" si="9"/>
        <v>341.3</v>
      </c>
      <c r="AN35" s="571">
        <f t="shared" si="9"/>
        <v>341.6</v>
      </c>
      <c r="AO35" s="571">
        <f t="shared" si="9"/>
        <v>340.4</v>
      </c>
      <c r="AP35" s="571">
        <f t="shared" si="9"/>
        <v>340</v>
      </c>
      <c r="AQ35" s="571">
        <f t="shared" si="9"/>
        <v>338.7</v>
      </c>
    </row>
    <row r="36" spans="1:43" s="6" customFormat="1" ht="20.100000000000001" customHeight="1" x14ac:dyDescent="0.25">
      <c r="A36" s="5"/>
      <c r="B36" s="610"/>
      <c r="C36" s="610"/>
      <c r="D36" s="610" t="s">
        <v>63</v>
      </c>
      <c r="E36" s="612">
        <v>259.10000000000002</v>
      </c>
      <c r="F36" s="580"/>
      <c r="G36" s="581"/>
      <c r="H36" s="25"/>
      <c r="I36" s="26"/>
      <c r="J36" s="570">
        <f>IF($E36="","",VLOOKUP($E36,DB,$E$4,0))</f>
        <v>262.2</v>
      </c>
      <c r="K36" s="5"/>
      <c r="L36" s="95"/>
      <c r="M36" s="571"/>
      <c r="N36" s="571">
        <f>IF(E36="","",E36)</f>
        <v>259.10000000000002</v>
      </c>
      <c r="O36" s="571">
        <f t="shared" si="8"/>
        <v>264.5</v>
      </c>
      <c r="P36" s="571">
        <f t="shared" si="8"/>
        <v>262.2</v>
      </c>
      <c r="Q36" s="571">
        <f t="shared" si="8"/>
        <v>263</v>
      </c>
      <c r="R36" s="571">
        <f t="shared" si="8"/>
        <v>262.7</v>
      </c>
      <c r="S36" s="571">
        <f t="shared" si="8"/>
        <v>264.3</v>
      </c>
      <c r="T36" s="571">
        <f t="shared" si="8"/>
        <v>264</v>
      </c>
      <c r="U36" s="571">
        <f t="shared" si="8"/>
        <v>263.8</v>
      </c>
      <c r="V36" s="571">
        <f t="shared" si="8"/>
        <v>263.5</v>
      </c>
      <c r="W36" s="571">
        <f t="shared" si="8"/>
        <v>262.5</v>
      </c>
      <c r="X36" s="571">
        <f t="shared" si="8"/>
        <v>265.3</v>
      </c>
      <c r="Y36" s="571">
        <f t="shared" si="8"/>
        <v>265.10000000000002</v>
      </c>
      <c r="Z36" s="571">
        <f t="shared" si="8"/>
        <v>263.2</v>
      </c>
      <c r="AA36" s="571">
        <f t="shared" si="8"/>
        <v>264.8</v>
      </c>
      <c r="AB36" s="571">
        <f t="shared" si="8"/>
        <v>265.60000000000002</v>
      </c>
      <c r="AC36" s="571">
        <f t="shared" si="8"/>
        <v>267.10000000000002</v>
      </c>
      <c r="AD36" s="571">
        <f t="shared" si="8"/>
        <v>266.10000000000002</v>
      </c>
      <c r="AE36" s="571">
        <f t="shared" si="9"/>
        <v>264.2</v>
      </c>
      <c r="AF36" s="571">
        <f t="shared" si="9"/>
        <v>265.60000000000002</v>
      </c>
      <c r="AG36" s="571">
        <f t="shared" si="9"/>
        <v>267.89999999999998</v>
      </c>
      <c r="AH36" s="571">
        <f t="shared" si="9"/>
        <v>265.5</v>
      </c>
      <c r="AI36" s="571">
        <f t="shared" si="9"/>
        <v>264.2</v>
      </c>
      <c r="AJ36" s="571">
        <f t="shared" si="9"/>
        <v>263.60000000000002</v>
      </c>
      <c r="AK36" s="571">
        <f t="shared" si="9"/>
        <v>263.8</v>
      </c>
      <c r="AL36" s="571">
        <f t="shared" si="9"/>
        <v>265.60000000000002</v>
      </c>
      <c r="AM36" s="571">
        <f t="shared" si="9"/>
        <v>267.3</v>
      </c>
      <c r="AN36" s="571">
        <f t="shared" si="9"/>
        <v>267.39999999999998</v>
      </c>
      <c r="AO36" s="571">
        <f t="shared" si="9"/>
        <v>266.60000000000002</v>
      </c>
      <c r="AP36" s="571">
        <f t="shared" si="9"/>
        <v>266.2</v>
      </c>
      <c r="AQ36" s="571">
        <f t="shared" si="9"/>
        <v>265.2</v>
      </c>
    </row>
    <row r="37" spans="1:43" s="6" customFormat="1" ht="18" customHeight="1" x14ac:dyDescent="0.25">
      <c r="A37" s="5"/>
      <c r="B37" s="16"/>
      <c r="C37" s="16"/>
      <c r="D37" s="5"/>
      <c r="E37" s="17"/>
      <c r="F37" s="5"/>
      <c r="G37" s="5"/>
      <c r="H37" s="5"/>
      <c r="I37" s="10"/>
      <c r="K37" s="5"/>
      <c r="L37" s="95"/>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row>
    <row r="38" spans="1:43" s="22" customFormat="1" ht="15.75" x14ac:dyDescent="0.25">
      <c r="A38" s="18"/>
      <c r="B38" s="19" t="s">
        <v>64</v>
      </c>
      <c r="C38" s="18"/>
      <c r="D38" s="18"/>
      <c r="E38" s="20"/>
      <c r="F38" s="18"/>
      <c r="G38" s="18"/>
      <c r="H38" s="18"/>
      <c r="I38" s="21"/>
      <c r="K38" s="5"/>
      <c r="L38" s="95"/>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row>
    <row r="39" spans="1:43" s="6" customFormat="1" ht="17.100000000000001" customHeight="1" x14ac:dyDescent="0.25">
      <c r="A39" s="5"/>
      <c r="B39" s="23" t="s">
        <v>9</v>
      </c>
      <c r="C39" s="23" t="s">
        <v>10</v>
      </c>
      <c r="D39" s="23" t="s">
        <v>11</v>
      </c>
      <c r="E39" s="24" t="s">
        <v>6</v>
      </c>
      <c r="F39" s="25"/>
      <c r="G39" s="25"/>
      <c r="H39" s="25"/>
      <c r="I39" s="26"/>
      <c r="K39" s="5"/>
      <c r="L39" s="95"/>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row>
    <row r="40" spans="1:43" s="6" customFormat="1" ht="17.100000000000001" customHeight="1" x14ac:dyDescent="0.25">
      <c r="A40" s="5"/>
      <c r="B40" s="582" t="s">
        <v>65</v>
      </c>
      <c r="C40" s="583"/>
      <c r="D40" s="584"/>
      <c r="E40" s="585"/>
      <c r="F40" s="25"/>
      <c r="G40" s="25"/>
      <c r="H40" s="25"/>
      <c r="I40" s="26"/>
      <c r="K40" s="5"/>
      <c r="L40" s="95"/>
      <c r="M40" s="571"/>
      <c r="N40" s="15" t="s">
        <v>6</v>
      </c>
      <c r="O40" s="15">
        <f>O21</f>
        <v>2.1000000000000001E-2</v>
      </c>
      <c r="P40" s="15">
        <f t="shared" ref="P40:AQ40" si="10">P21</f>
        <v>1.2E-2</v>
      </c>
      <c r="Q40" s="15">
        <f t="shared" si="10"/>
        <v>1.4999999999999999E-2</v>
      </c>
      <c r="R40" s="15">
        <f t="shared" si="10"/>
        <v>1.4E-2</v>
      </c>
      <c r="S40" s="15">
        <f t="shared" si="10"/>
        <v>0.02</v>
      </c>
      <c r="T40" s="15">
        <f t="shared" si="10"/>
        <v>1.9E-2</v>
      </c>
      <c r="U40" s="15">
        <f t="shared" si="10"/>
        <v>1.7999999999999999E-2</v>
      </c>
      <c r="V40" s="15">
        <f t="shared" si="10"/>
        <v>1.7000000000000001E-2</v>
      </c>
      <c r="W40" s="15">
        <f t="shared" si="10"/>
        <v>1.2999999999999999E-2</v>
      </c>
      <c r="X40" s="15">
        <f t="shared" si="10"/>
        <v>2.4E-2</v>
      </c>
      <c r="Y40" s="15">
        <f t="shared" si="10"/>
        <v>2.3E-2</v>
      </c>
      <c r="Z40" s="15">
        <f t="shared" si="10"/>
        <v>1.6E-2</v>
      </c>
      <c r="AA40" s="15">
        <f t="shared" si="10"/>
        <v>2.1999999999999999E-2</v>
      </c>
      <c r="AB40" s="15">
        <f t="shared" si="10"/>
        <v>2.5000000000000001E-2</v>
      </c>
      <c r="AC40" s="15">
        <f t="shared" si="10"/>
        <v>3.1E-2</v>
      </c>
      <c r="AD40" s="15">
        <f t="shared" si="10"/>
        <v>2.7E-2</v>
      </c>
      <c r="AE40" s="15">
        <f t="shared" si="10"/>
        <v>1.95E-2</v>
      </c>
      <c r="AF40" s="15">
        <f t="shared" si="10"/>
        <v>2.5000000000000001E-2</v>
      </c>
      <c r="AG40" s="15">
        <f t="shared" si="10"/>
        <v>3.4000000000000002E-2</v>
      </c>
      <c r="AH40" s="15">
        <f t="shared" si="10"/>
        <v>2.4799999999999999E-2</v>
      </c>
      <c r="AI40" s="15">
        <f t="shared" si="10"/>
        <v>1.9800000000000002E-2</v>
      </c>
      <c r="AJ40" s="15">
        <f t="shared" si="10"/>
        <v>1.7500000000000002E-2</v>
      </c>
      <c r="AK40" s="15">
        <f t="shared" si="10"/>
        <v>1.8200000000000001E-2</v>
      </c>
      <c r="AL40" s="15">
        <f t="shared" si="10"/>
        <v>2.52E-2</v>
      </c>
      <c r="AM40" s="15">
        <f t="shared" si="10"/>
        <v>3.15E-2</v>
      </c>
      <c r="AN40" s="15">
        <f t="shared" si="10"/>
        <v>3.2199999999999999E-2</v>
      </c>
      <c r="AO40" s="15">
        <f t="shared" si="10"/>
        <v>2.8799999999999999E-2</v>
      </c>
      <c r="AP40" s="15">
        <f t="shared" si="10"/>
        <v>2.7400000000000001E-2</v>
      </c>
      <c r="AQ40" s="15">
        <f t="shared" si="10"/>
        <v>2.3599999999999999E-2</v>
      </c>
    </row>
    <row r="41" spans="1:43" s="6" customFormat="1" ht="20.100000000000001" customHeight="1" x14ac:dyDescent="0.25">
      <c r="A41" s="5"/>
      <c r="B41" s="586" t="s">
        <v>66</v>
      </c>
      <c r="C41" s="586" t="s">
        <v>67</v>
      </c>
      <c r="D41" s="593" t="s">
        <v>68</v>
      </c>
      <c r="E41" s="594">
        <v>4218</v>
      </c>
      <c r="F41" s="25"/>
      <c r="G41" s="25"/>
      <c r="H41" s="25"/>
      <c r="I41" s="26"/>
      <c r="J41" s="570">
        <f>IF($E41="","",VLOOKUP($E41,DB,$E$4,0))</f>
        <v>4268.6000000000004</v>
      </c>
      <c r="K41" s="5"/>
      <c r="L41" s="95"/>
      <c r="M41" s="571"/>
      <c r="N41" s="571">
        <f>IF(E41="","",E41)</f>
        <v>4218</v>
      </c>
      <c r="O41" s="571">
        <f>IF($N41="","",ROUND($N41+$N41*O$40,1))</f>
        <v>4306.6000000000004</v>
      </c>
      <c r="P41" s="571">
        <f t="shared" ref="P41:AQ46" si="11">IF($N41="","",ROUND($N41+$N41*P$40,1))</f>
        <v>4268.6000000000004</v>
      </c>
      <c r="Q41" s="571">
        <f t="shared" si="11"/>
        <v>4281.3</v>
      </c>
      <c r="R41" s="571">
        <f t="shared" si="11"/>
        <v>4277.1000000000004</v>
      </c>
      <c r="S41" s="571">
        <f t="shared" si="11"/>
        <v>4302.3999999999996</v>
      </c>
      <c r="T41" s="571">
        <f t="shared" si="11"/>
        <v>4298.1000000000004</v>
      </c>
      <c r="U41" s="571">
        <f t="shared" si="11"/>
        <v>4293.8999999999996</v>
      </c>
      <c r="V41" s="571">
        <f t="shared" si="11"/>
        <v>4289.7</v>
      </c>
      <c r="W41" s="571">
        <f t="shared" si="11"/>
        <v>4272.8</v>
      </c>
      <c r="X41" s="571">
        <f t="shared" si="11"/>
        <v>4319.2</v>
      </c>
      <c r="Y41" s="571">
        <f t="shared" si="11"/>
        <v>4315</v>
      </c>
      <c r="Z41" s="571">
        <f t="shared" si="11"/>
        <v>4285.5</v>
      </c>
      <c r="AA41" s="571">
        <f t="shared" si="11"/>
        <v>4310.8</v>
      </c>
      <c r="AB41" s="571">
        <f t="shared" si="11"/>
        <v>4323.5</v>
      </c>
      <c r="AC41" s="571">
        <f t="shared" si="11"/>
        <v>4348.8</v>
      </c>
      <c r="AD41" s="571">
        <f t="shared" si="11"/>
        <v>4331.8999999999996</v>
      </c>
      <c r="AE41" s="571">
        <f t="shared" si="11"/>
        <v>4300.3</v>
      </c>
      <c r="AF41" s="571">
        <f t="shared" si="11"/>
        <v>4323.5</v>
      </c>
      <c r="AG41" s="571">
        <f t="shared" si="11"/>
        <v>4361.3999999999996</v>
      </c>
      <c r="AH41" s="571">
        <f t="shared" si="11"/>
        <v>4322.6000000000004</v>
      </c>
      <c r="AI41" s="571">
        <f t="shared" si="11"/>
        <v>4301.5</v>
      </c>
      <c r="AJ41" s="571">
        <f t="shared" si="11"/>
        <v>4291.8</v>
      </c>
      <c r="AK41" s="571">
        <f t="shared" si="11"/>
        <v>4294.8</v>
      </c>
      <c r="AL41" s="571">
        <f t="shared" si="11"/>
        <v>4324.3</v>
      </c>
      <c r="AM41" s="571">
        <f t="shared" si="11"/>
        <v>4350.8999999999996</v>
      </c>
      <c r="AN41" s="571">
        <f t="shared" si="11"/>
        <v>4353.8</v>
      </c>
      <c r="AO41" s="571">
        <f t="shared" si="11"/>
        <v>4339.5</v>
      </c>
      <c r="AP41" s="571">
        <f t="shared" si="11"/>
        <v>4333.6000000000004</v>
      </c>
      <c r="AQ41" s="571">
        <f t="shared" si="11"/>
        <v>4317.5</v>
      </c>
    </row>
    <row r="42" spans="1:43" s="6" customFormat="1" ht="20.100000000000001" customHeight="1" x14ac:dyDescent="0.25">
      <c r="A42" s="5"/>
      <c r="B42" s="586" t="s">
        <v>66</v>
      </c>
      <c r="C42" s="587" t="s">
        <v>67</v>
      </c>
      <c r="D42" s="593" t="s">
        <v>69</v>
      </c>
      <c r="E42" s="594">
        <v>3383.1</v>
      </c>
      <c r="F42" s="25"/>
      <c r="G42" s="25"/>
      <c r="H42" s="25"/>
      <c r="I42" s="26"/>
      <c r="J42" s="570">
        <f>IF($E42="","",VLOOKUP($E42,DB,$E$4,0))</f>
        <v>3423.7</v>
      </c>
      <c r="K42" s="5"/>
      <c r="L42" s="95"/>
      <c r="M42" s="571"/>
      <c r="N42" s="571">
        <f>IF(E42="","",E42)</f>
        <v>3383.1</v>
      </c>
      <c r="O42" s="571">
        <f t="shared" ref="O42:O46" si="12">IF($N42="","",ROUND($N42+$N42*O$40,1))</f>
        <v>3454.1</v>
      </c>
      <c r="P42" s="571">
        <f t="shared" si="11"/>
        <v>3423.7</v>
      </c>
      <c r="Q42" s="571">
        <f t="shared" si="11"/>
        <v>3433.8</v>
      </c>
      <c r="R42" s="571">
        <f t="shared" si="11"/>
        <v>3430.5</v>
      </c>
      <c r="S42" s="571">
        <f t="shared" si="11"/>
        <v>3450.8</v>
      </c>
      <c r="T42" s="571">
        <f t="shared" si="11"/>
        <v>3447.4</v>
      </c>
      <c r="U42" s="571">
        <f t="shared" si="11"/>
        <v>3444</v>
      </c>
      <c r="V42" s="571">
        <f t="shared" si="11"/>
        <v>3440.6</v>
      </c>
      <c r="W42" s="571">
        <f t="shared" si="11"/>
        <v>3427.1</v>
      </c>
      <c r="X42" s="571">
        <f t="shared" si="11"/>
        <v>3464.3</v>
      </c>
      <c r="Y42" s="571">
        <f t="shared" si="11"/>
        <v>3460.9</v>
      </c>
      <c r="Z42" s="571">
        <f t="shared" si="11"/>
        <v>3437.2</v>
      </c>
      <c r="AA42" s="571">
        <f t="shared" si="11"/>
        <v>3457.5</v>
      </c>
      <c r="AB42" s="571">
        <f t="shared" si="11"/>
        <v>3467.7</v>
      </c>
      <c r="AC42" s="571">
        <f t="shared" si="11"/>
        <v>3488</v>
      </c>
      <c r="AD42" s="571">
        <f t="shared" si="11"/>
        <v>3474.4</v>
      </c>
      <c r="AE42" s="571">
        <f t="shared" si="11"/>
        <v>3449.1</v>
      </c>
      <c r="AF42" s="571">
        <f t="shared" si="11"/>
        <v>3467.7</v>
      </c>
      <c r="AG42" s="571">
        <f t="shared" si="11"/>
        <v>3498.1</v>
      </c>
      <c r="AH42" s="571">
        <f t="shared" si="11"/>
        <v>3467</v>
      </c>
      <c r="AI42" s="571">
        <f t="shared" si="11"/>
        <v>3450.1</v>
      </c>
      <c r="AJ42" s="571">
        <f t="shared" si="11"/>
        <v>3442.3</v>
      </c>
      <c r="AK42" s="571">
        <f t="shared" si="11"/>
        <v>3444.7</v>
      </c>
      <c r="AL42" s="571">
        <f t="shared" si="11"/>
        <v>3468.4</v>
      </c>
      <c r="AM42" s="571">
        <f t="shared" si="11"/>
        <v>3489.7</v>
      </c>
      <c r="AN42" s="571">
        <f t="shared" si="11"/>
        <v>3492</v>
      </c>
      <c r="AO42" s="571">
        <f t="shared" si="11"/>
        <v>3480.5</v>
      </c>
      <c r="AP42" s="571">
        <f t="shared" si="11"/>
        <v>3475.8</v>
      </c>
      <c r="AQ42" s="571">
        <f t="shared" si="11"/>
        <v>3462.9</v>
      </c>
    </row>
    <row r="43" spans="1:43" s="6" customFormat="1" ht="17.100000000000001" customHeight="1" x14ac:dyDescent="0.25">
      <c r="A43" s="5"/>
      <c r="B43" s="588" t="s">
        <v>70</v>
      </c>
      <c r="C43" s="589"/>
      <c r="D43" s="590"/>
      <c r="E43" s="591"/>
      <c r="F43" s="25"/>
      <c r="G43" s="25"/>
      <c r="H43" s="25"/>
      <c r="I43" s="26"/>
      <c r="K43" s="5"/>
      <c r="L43" s="95"/>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row>
    <row r="44" spans="1:43" s="6" customFormat="1" ht="20.100000000000001" customHeight="1" x14ac:dyDescent="0.25">
      <c r="A44" s="5"/>
      <c r="B44" s="586" t="s">
        <v>66</v>
      </c>
      <c r="C44" s="592" t="s">
        <v>67</v>
      </c>
      <c r="D44" s="593" t="s">
        <v>71</v>
      </c>
      <c r="E44" s="602">
        <v>496.9</v>
      </c>
      <c r="F44" s="25"/>
      <c r="G44" s="25"/>
      <c r="H44" s="25"/>
      <c r="I44" s="26"/>
      <c r="J44" s="570">
        <f>IF($E44="","",VLOOKUP($E44,DB,$E$4,0))</f>
        <v>502.9</v>
      </c>
      <c r="K44" s="5"/>
      <c r="L44" s="95"/>
      <c r="M44" s="571"/>
      <c r="N44" s="571">
        <f>IF(E44="","",E44)</f>
        <v>496.9</v>
      </c>
      <c r="O44" s="571">
        <f t="shared" si="12"/>
        <v>507.3</v>
      </c>
      <c r="P44" s="571">
        <f t="shared" si="11"/>
        <v>502.9</v>
      </c>
      <c r="Q44" s="571">
        <f t="shared" si="11"/>
        <v>504.4</v>
      </c>
      <c r="R44" s="571">
        <f t="shared" si="11"/>
        <v>503.9</v>
      </c>
      <c r="S44" s="571">
        <f t="shared" si="11"/>
        <v>506.8</v>
      </c>
      <c r="T44" s="571">
        <f t="shared" si="11"/>
        <v>506.3</v>
      </c>
      <c r="U44" s="571">
        <f t="shared" si="11"/>
        <v>505.8</v>
      </c>
      <c r="V44" s="571">
        <f t="shared" si="11"/>
        <v>505.3</v>
      </c>
      <c r="W44" s="571">
        <f t="shared" si="11"/>
        <v>503.4</v>
      </c>
      <c r="X44" s="571">
        <f t="shared" si="11"/>
        <v>508.8</v>
      </c>
      <c r="Y44" s="571">
        <f t="shared" si="11"/>
        <v>508.3</v>
      </c>
      <c r="Z44" s="571">
        <f t="shared" si="11"/>
        <v>504.9</v>
      </c>
      <c r="AA44" s="571">
        <f t="shared" si="11"/>
        <v>507.8</v>
      </c>
      <c r="AB44" s="571">
        <f t="shared" si="11"/>
        <v>509.3</v>
      </c>
      <c r="AC44" s="571">
        <f t="shared" si="11"/>
        <v>512.29999999999995</v>
      </c>
      <c r="AD44" s="571">
        <f t="shared" si="11"/>
        <v>510.3</v>
      </c>
      <c r="AE44" s="571">
        <f t="shared" si="11"/>
        <v>506.6</v>
      </c>
      <c r="AF44" s="571">
        <f t="shared" si="11"/>
        <v>509.3</v>
      </c>
      <c r="AG44" s="571">
        <f t="shared" si="11"/>
        <v>513.79999999999995</v>
      </c>
      <c r="AH44" s="571">
        <f t="shared" si="11"/>
        <v>509.2</v>
      </c>
      <c r="AI44" s="571">
        <f t="shared" si="11"/>
        <v>506.7</v>
      </c>
      <c r="AJ44" s="571">
        <f t="shared" si="11"/>
        <v>505.6</v>
      </c>
      <c r="AK44" s="571">
        <f t="shared" si="11"/>
        <v>505.9</v>
      </c>
      <c r="AL44" s="571">
        <f t="shared" si="11"/>
        <v>509.4</v>
      </c>
      <c r="AM44" s="571">
        <f t="shared" si="11"/>
        <v>512.6</v>
      </c>
      <c r="AN44" s="571">
        <f t="shared" si="11"/>
        <v>512.9</v>
      </c>
      <c r="AO44" s="571">
        <f t="shared" si="11"/>
        <v>511.2</v>
      </c>
      <c r="AP44" s="571">
        <f t="shared" si="11"/>
        <v>510.5</v>
      </c>
      <c r="AQ44" s="571">
        <f t="shared" si="11"/>
        <v>508.6</v>
      </c>
    </row>
    <row r="45" spans="1:43" s="6" customFormat="1" ht="20.100000000000001" customHeight="1" x14ac:dyDescent="0.25">
      <c r="A45" s="5"/>
      <c r="B45" s="586" t="s">
        <v>66</v>
      </c>
      <c r="C45" s="586" t="s">
        <v>67</v>
      </c>
      <c r="D45" s="596" t="s">
        <v>72</v>
      </c>
      <c r="E45" s="594">
        <v>1029.2</v>
      </c>
      <c r="F45" s="25"/>
      <c r="G45" s="25"/>
      <c r="H45" s="25"/>
      <c r="I45" s="26"/>
      <c r="J45" s="570">
        <f>IF($E45="","",VLOOKUP($E45,DB,$E$4,0))</f>
        <v>1041.5999999999999</v>
      </c>
      <c r="K45" s="5"/>
      <c r="L45" s="95"/>
      <c r="M45" s="571"/>
      <c r="N45" s="571">
        <f>IF(E45="","",E45)</f>
        <v>1029.2</v>
      </c>
      <c r="O45" s="571">
        <f t="shared" si="12"/>
        <v>1050.8</v>
      </c>
      <c r="P45" s="571">
        <f t="shared" si="11"/>
        <v>1041.5999999999999</v>
      </c>
      <c r="Q45" s="571">
        <f t="shared" si="11"/>
        <v>1044.5999999999999</v>
      </c>
      <c r="R45" s="571">
        <f t="shared" si="11"/>
        <v>1043.5999999999999</v>
      </c>
      <c r="S45" s="571">
        <f t="shared" si="11"/>
        <v>1049.8</v>
      </c>
      <c r="T45" s="571">
        <f t="shared" si="11"/>
        <v>1048.8</v>
      </c>
      <c r="U45" s="571">
        <f t="shared" si="11"/>
        <v>1047.7</v>
      </c>
      <c r="V45" s="571">
        <f t="shared" si="11"/>
        <v>1046.7</v>
      </c>
      <c r="W45" s="571">
        <f t="shared" si="11"/>
        <v>1042.5999999999999</v>
      </c>
      <c r="X45" s="571">
        <f t="shared" si="11"/>
        <v>1053.9000000000001</v>
      </c>
      <c r="Y45" s="571">
        <f t="shared" si="11"/>
        <v>1052.9000000000001</v>
      </c>
      <c r="Z45" s="571">
        <f t="shared" si="11"/>
        <v>1045.7</v>
      </c>
      <c r="AA45" s="571">
        <f t="shared" si="11"/>
        <v>1051.8</v>
      </c>
      <c r="AB45" s="571">
        <f t="shared" si="11"/>
        <v>1054.9000000000001</v>
      </c>
      <c r="AC45" s="571">
        <f t="shared" si="11"/>
        <v>1061.0999999999999</v>
      </c>
      <c r="AD45" s="571">
        <f t="shared" si="11"/>
        <v>1057</v>
      </c>
      <c r="AE45" s="571">
        <f t="shared" si="11"/>
        <v>1049.3</v>
      </c>
      <c r="AF45" s="571">
        <f t="shared" si="11"/>
        <v>1054.9000000000001</v>
      </c>
      <c r="AG45" s="571">
        <f t="shared" si="11"/>
        <v>1064.2</v>
      </c>
      <c r="AH45" s="571">
        <f t="shared" si="11"/>
        <v>1054.7</v>
      </c>
      <c r="AI45" s="571">
        <f t="shared" si="11"/>
        <v>1049.5999999999999</v>
      </c>
      <c r="AJ45" s="571">
        <f t="shared" si="11"/>
        <v>1047.2</v>
      </c>
      <c r="AK45" s="571">
        <f t="shared" si="11"/>
        <v>1047.9000000000001</v>
      </c>
      <c r="AL45" s="571">
        <f t="shared" si="11"/>
        <v>1055.0999999999999</v>
      </c>
      <c r="AM45" s="571">
        <f t="shared" si="11"/>
        <v>1061.5999999999999</v>
      </c>
      <c r="AN45" s="571">
        <f t="shared" si="11"/>
        <v>1062.3</v>
      </c>
      <c r="AO45" s="571">
        <f t="shared" si="11"/>
        <v>1058.8</v>
      </c>
      <c r="AP45" s="571">
        <f t="shared" si="11"/>
        <v>1057.4000000000001</v>
      </c>
      <c r="AQ45" s="571">
        <f t="shared" si="11"/>
        <v>1053.5</v>
      </c>
    </row>
    <row r="46" spans="1:43" s="6" customFormat="1" ht="20.100000000000001" customHeight="1" x14ac:dyDescent="0.25">
      <c r="A46" s="5"/>
      <c r="B46" s="586" t="s">
        <v>66</v>
      </c>
      <c r="C46" s="586" t="s">
        <v>67</v>
      </c>
      <c r="D46" s="596" t="s">
        <v>73</v>
      </c>
      <c r="E46" s="594">
        <v>257</v>
      </c>
      <c r="F46" s="25"/>
      <c r="G46" s="25"/>
      <c r="H46" s="25"/>
      <c r="I46" s="26"/>
      <c r="J46" s="570">
        <f>IF($E46="","",VLOOKUP($E46,DB,$E$4,0))</f>
        <v>260.10000000000002</v>
      </c>
      <c r="K46" s="5"/>
      <c r="L46" s="95"/>
      <c r="M46" s="571"/>
      <c r="N46" s="571">
        <f>IF(E46="","",E46)</f>
        <v>257</v>
      </c>
      <c r="O46" s="571">
        <f t="shared" si="12"/>
        <v>262.39999999999998</v>
      </c>
      <c r="P46" s="571">
        <f t="shared" si="11"/>
        <v>260.10000000000002</v>
      </c>
      <c r="Q46" s="571">
        <f t="shared" si="11"/>
        <v>260.89999999999998</v>
      </c>
      <c r="R46" s="571">
        <f t="shared" si="11"/>
        <v>260.60000000000002</v>
      </c>
      <c r="S46" s="571">
        <f t="shared" si="11"/>
        <v>262.10000000000002</v>
      </c>
      <c r="T46" s="571">
        <f t="shared" si="11"/>
        <v>261.89999999999998</v>
      </c>
      <c r="U46" s="571">
        <f t="shared" si="11"/>
        <v>261.60000000000002</v>
      </c>
      <c r="V46" s="571">
        <f t="shared" si="11"/>
        <v>261.39999999999998</v>
      </c>
      <c r="W46" s="571">
        <f t="shared" si="11"/>
        <v>260.3</v>
      </c>
      <c r="X46" s="571">
        <f t="shared" si="11"/>
        <v>263.2</v>
      </c>
      <c r="Y46" s="571">
        <f t="shared" si="11"/>
        <v>262.89999999999998</v>
      </c>
      <c r="Z46" s="571">
        <f t="shared" si="11"/>
        <v>261.10000000000002</v>
      </c>
      <c r="AA46" s="571">
        <f t="shared" si="11"/>
        <v>262.7</v>
      </c>
      <c r="AB46" s="571">
        <f t="shared" si="11"/>
        <v>263.39999999999998</v>
      </c>
      <c r="AC46" s="571">
        <f t="shared" si="11"/>
        <v>265</v>
      </c>
      <c r="AD46" s="571">
        <f t="shared" si="11"/>
        <v>263.89999999999998</v>
      </c>
      <c r="AE46" s="571">
        <f t="shared" si="11"/>
        <v>262</v>
      </c>
      <c r="AF46" s="571">
        <f t="shared" si="11"/>
        <v>263.39999999999998</v>
      </c>
      <c r="AG46" s="571">
        <f t="shared" si="11"/>
        <v>265.7</v>
      </c>
      <c r="AH46" s="571">
        <f t="shared" si="11"/>
        <v>263.39999999999998</v>
      </c>
      <c r="AI46" s="571">
        <f t="shared" si="11"/>
        <v>262.10000000000002</v>
      </c>
      <c r="AJ46" s="571">
        <f t="shared" si="11"/>
        <v>261.5</v>
      </c>
      <c r="AK46" s="571">
        <f t="shared" si="11"/>
        <v>261.7</v>
      </c>
      <c r="AL46" s="571">
        <f t="shared" si="11"/>
        <v>263.5</v>
      </c>
      <c r="AM46" s="571">
        <f t="shared" si="11"/>
        <v>265.10000000000002</v>
      </c>
      <c r="AN46" s="571">
        <f t="shared" si="11"/>
        <v>265.3</v>
      </c>
      <c r="AO46" s="571">
        <f t="shared" si="11"/>
        <v>264.39999999999998</v>
      </c>
      <c r="AP46" s="571">
        <f t="shared" si="11"/>
        <v>264</v>
      </c>
      <c r="AQ46" s="571">
        <f t="shared" si="11"/>
        <v>263.10000000000002</v>
      </c>
    </row>
    <row r="47" spans="1:43" s="6" customFormat="1" x14ac:dyDescent="0.25">
      <c r="A47" s="5"/>
      <c r="B47" s="16"/>
      <c r="C47" s="16"/>
      <c r="D47" s="5"/>
      <c r="E47" s="17"/>
      <c r="F47" s="5"/>
      <c r="G47" s="5"/>
      <c r="H47" s="5"/>
      <c r="I47" s="10"/>
      <c r="J47" s="5"/>
      <c r="K47" s="5"/>
      <c r="L47" s="95"/>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row>
    <row r="48" spans="1:43" s="6" customFormat="1" ht="15" customHeight="1" x14ac:dyDescent="0.25">
      <c r="A48" s="572" t="s">
        <v>74</v>
      </c>
      <c r="B48" s="8"/>
      <c r="C48" s="8"/>
      <c r="E48" s="9"/>
      <c r="H48" s="573" t="s">
        <v>380</v>
      </c>
      <c r="I48" s="574"/>
      <c r="J48" s="5"/>
      <c r="K48" s="5"/>
      <c r="L48" s="95"/>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row>
    <row r="49" spans="1:43" s="6" customFormat="1" x14ac:dyDescent="0.25">
      <c r="A49" s="5"/>
      <c r="B49" s="16"/>
      <c r="C49" s="16"/>
      <c r="D49" s="5"/>
      <c r="E49" s="17"/>
      <c r="F49" s="5"/>
      <c r="G49" s="5"/>
      <c r="H49" s="5"/>
      <c r="I49" s="10"/>
      <c r="J49" s="5"/>
      <c r="K49" s="5"/>
      <c r="L49" s="95"/>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row>
    <row r="50" spans="1:43" s="6" customFormat="1" ht="12.75" hidden="1" customHeight="1" x14ac:dyDescent="0.25">
      <c r="B50" s="8"/>
      <c r="C50" s="8"/>
      <c r="E50" s="9"/>
      <c r="L50" s="95"/>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row>
    <row r="51" spans="1:43" s="6" customFormat="1" ht="12.75" hidden="1" customHeight="1" thickBot="1" x14ac:dyDescent="0.3">
      <c r="B51" s="45" t="s">
        <v>75</v>
      </c>
      <c r="C51" s="45" t="s">
        <v>76</v>
      </c>
      <c r="D51" s="45" t="s">
        <v>77</v>
      </c>
      <c r="E51" s="9"/>
      <c r="L51" s="95"/>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row>
    <row r="52" spans="1:43" s="6" customFormat="1" ht="12.75" hidden="1" customHeight="1" thickTop="1" x14ac:dyDescent="0.25">
      <c r="B52" s="38" t="str">
        <f>B9</f>
        <v>EB</v>
      </c>
      <c r="C52" s="38" t="str">
        <f>C9</f>
        <v>01.01.</v>
      </c>
      <c r="D52" s="38" t="str">
        <f>D9</f>
        <v>AB Gebäude</v>
      </c>
      <c r="E52" s="9"/>
      <c r="L52" s="95"/>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row>
    <row r="53" spans="1:43" s="8" customFormat="1" ht="12.75" hidden="1" customHeight="1" x14ac:dyDescent="0.25">
      <c r="B53" s="43" t="str">
        <f t="shared" ref="B53:C61" si="13">B22</f>
        <v>K1</v>
      </c>
      <c r="C53" s="43" t="str">
        <f t="shared" si="13"/>
        <v>07.01.</v>
      </c>
      <c r="D53" s="43" t="str">
        <f t="shared" ref="D53:D61" si="14">D10</f>
        <v>AB Maschinen</v>
      </c>
      <c r="E53" s="9"/>
      <c r="L53" s="95"/>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row>
    <row r="54" spans="1:43" s="8" customFormat="1" ht="12.75" hidden="1" customHeight="1" x14ac:dyDescent="0.25">
      <c r="B54" s="43" t="str">
        <f t="shared" si="13"/>
        <v>B1</v>
      </c>
      <c r="C54" s="43" t="str">
        <f t="shared" si="13"/>
        <v>10.01.</v>
      </c>
      <c r="D54" s="43" t="str">
        <f t="shared" si="14"/>
        <v>AB Schafe</v>
      </c>
      <c r="E54" s="9"/>
      <c r="L54" s="95"/>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row>
    <row r="55" spans="1:43" s="8" customFormat="1" ht="12.75" hidden="1" customHeight="1" x14ac:dyDescent="0.25">
      <c r="B55" s="43" t="str">
        <f t="shared" si="13"/>
        <v>B2</v>
      </c>
      <c r="C55" s="43" t="str">
        <f t="shared" si="13"/>
        <v>15.02.</v>
      </c>
      <c r="D55" s="43" t="str">
        <f t="shared" si="14"/>
        <v>AB Vorräte selbsterz.</v>
      </c>
      <c r="E55" s="9"/>
      <c r="L55" s="95"/>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row>
    <row r="56" spans="1:43" s="8" customFormat="1" ht="12.75" hidden="1" customHeight="1" x14ac:dyDescent="0.25">
      <c r="B56" s="43" t="str">
        <f t="shared" si="13"/>
        <v>A1</v>
      </c>
      <c r="C56" s="43" t="str">
        <f t="shared" si="13"/>
        <v>21.03.</v>
      </c>
      <c r="D56" s="43" t="str">
        <f t="shared" si="14"/>
        <v>AB Vorräte zugekaufte</v>
      </c>
      <c r="E56" s="9"/>
      <c r="L56" s="95"/>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row>
    <row r="57" spans="1:43" s="8" customFormat="1" ht="12.75" hidden="1" customHeight="1" x14ac:dyDescent="0.25">
      <c r="B57" s="43" t="str">
        <f t="shared" si="13"/>
        <v>B3</v>
      </c>
      <c r="C57" s="43" t="str">
        <f t="shared" si="13"/>
        <v>20.04.</v>
      </c>
      <c r="D57" s="43" t="str">
        <f t="shared" si="14"/>
        <v>AB Kassa (Bargeld)</v>
      </c>
      <c r="E57" s="9"/>
      <c r="L57" s="95"/>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row>
    <row r="58" spans="1:43" s="8" customFormat="1" ht="12.75" hidden="1" customHeight="1" x14ac:dyDescent="0.25">
      <c r="B58" s="43" t="str">
        <f t="shared" si="13"/>
        <v>B4</v>
      </c>
      <c r="C58" s="43" t="str">
        <f t="shared" si="13"/>
        <v>09 06..</v>
      </c>
      <c r="D58" s="43" t="str">
        <f t="shared" si="14"/>
        <v>AB Giro (Bankguthaben)</v>
      </c>
      <c r="E58" s="9"/>
      <c r="L58" s="95"/>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row>
    <row r="59" spans="1:43" s="8" customFormat="1" ht="12.75" hidden="1" customHeight="1" x14ac:dyDescent="0.25">
      <c r="B59" s="43" t="str">
        <f t="shared" si="13"/>
        <v>K2</v>
      </c>
      <c r="C59" s="43" t="str">
        <f t="shared" si="13"/>
        <v>14.07.</v>
      </c>
      <c r="D59" s="43" t="str">
        <f t="shared" si="14"/>
        <v>AB Forderungen
Metzger Müller</v>
      </c>
      <c r="E59" s="9"/>
      <c r="L59" s="95"/>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row>
    <row r="60" spans="1:43" s="8" customFormat="1" ht="12.75" hidden="1" customHeight="1" x14ac:dyDescent="0.25">
      <c r="B60" s="43" t="str">
        <f t="shared" si="13"/>
        <v>B5</v>
      </c>
      <c r="C60" s="43" t="str">
        <f t="shared" si="13"/>
        <v>02.08.</v>
      </c>
      <c r="D60" s="43" t="str">
        <f t="shared" si="14"/>
        <v>AB Verbindlichkeiten Maschinenring Imst</v>
      </c>
      <c r="E60" s="9"/>
      <c r="L60" s="95"/>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571"/>
      <c r="AP60" s="571"/>
      <c r="AQ60" s="571"/>
    </row>
    <row r="61" spans="1:43" s="8" customFormat="1" ht="12.75" hidden="1" customHeight="1" x14ac:dyDescent="0.25">
      <c r="B61" s="43" t="str">
        <f t="shared" si="13"/>
        <v>B6</v>
      </c>
      <c r="C61" s="43" t="str">
        <f t="shared" si="13"/>
        <v>08.09.</v>
      </c>
      <c r="D61" s="43" t="str">
        <f t="shared" si="14"/>
        <v>AB Darlehen</v>
      </c>
      <c r="E61" s="9"/>
      <c r="L61" s="95"/>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row>
    <row r="62" spans="1:43" s="8" customFormat="1" ht="12.75" hidden="1" customHeight="1" x14ac:dyDescent="0.25">
      <c r="B62" s="43" t="str">
        <f>B33</f>
        <v>UB1</v>
      </c>
      <c r="C62" s="43" t="str">
        <f>C33</f>
        <v>30.11.</v>
      </c>
      <c r="D62" s="43" t="str">
        <f t="shared" ref="D62:D73" si="15">D22</f>
        <v>Metzger Müller zahlt Rechnung aus Vorjahr</v>
      </c>
      <c r="E62" s="9"/>
      <c r="L62" s="95"/>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row>
    <row r="63" spans="1:43" s="8" customFormat="1" ht="12.75" hidden="1" customHeight="1" x14ac:dyDescent="0.25">
      <c r="B63" s="43" t="str">
        <f>B41</f>
        <v>AB</v>
      </c>
      <c r="C63" s="43" t="str">
        <f>C41</f>
        <v>31.12.</v>
      </c>
      <c r="D63" s="43" t="str">
        <f t="shared" si="15"/>
        <v>Zahlung MR-Rechnung Vorjahr</v>
      </c>
      <c r="E63" s="9"/>
      <c r="L63" s="95"/>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row>
    <row r="64" spans="1:43" s="8" customFormat="1" ht="12.75" hidden="1" customHeight="1" x14ac:dyDescent="0.25">
      <c r="B64" s="22"/>
      <c r="C64" s="6"/>
      <c r="D64" s="43" t="str">
        <f t="shared" si="15"/>
        <v>Treibstoffkauf</v>
      </c>
      <c r="E64" s="9"/>
      <c r="L64" s="95"/>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row>
    <row r="65" spans="2:43" s="8" customFormat="1" ht="12.75" hidden="1" customHeight="1" x14ac:dyDescent="0.25">
      <c r="B65" s="6"/>
      <c r="C65" s="6"/>
      <c r="D65" s="43" t="str">
        <f t="shared" si="15"/>
        <v>Zuchtschafverkauf</v>
      </c>
      <c r="E65" s="9"/>
      <c r="L65" s="95"/>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1"/>
      <c r="AL65" s="571"/>
      <c r="AM65" s="571"/>
      <c r="AN65" s="571"/>
      <c r="AO65" s="571"/>
      <c r="AP65" s="571"/>
      <c r="AQ65" s="571"/>
    </row>
    <row r="66" spans="2:43" s="8" customFormat="1" ht="12.75" hidden="1" customHeight="1" x14ac:dyDescent="0.25">
      <c r="B66" s="6"/>
      <c r="C66" s="6"/>
      <c r="D66" s="43" t="str">
        <f t="shared" si="15"/>
        <v>TSV überweist Vesteigerungsentgelt</v>
      </c>
      <c r="E66" s="9"/>
      <c r="L66" s="95"/>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row>
    <row r="67" spans="2:43" s="8" customFormat="1" ht="12.75" hidden="1" customHeight="1" x14ac:dyDescent="0.25">
      <c r="B67" s="6"/>
      <c r="C67" s="6"/>
      <c r="D67" s="43" t="str">
        <f t="shared" si="15"/>
        <v>Kauf Kreiselzetter</v>
      </c>
      <c r="E67" s="9"/>
      <c r="L67" s="95"/>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row>
    <row r="68" spans="2:43" s="8" customFormat="1" ht="12.75" hidden="1" customHeight="1" x14ac:dyDescent="0.25">
      <c r="B68" s="6"/>
      <c r="C68" s="6"/>
      <c r="D68" s="43" t="str">
        <f t="shared" si="15"/>
        <v>Milchgeld (Schafmilch, Sammelbeleg)</v>
      </c>
      <c r="E68" s="9"/>
      <c r="L68" s="95"/>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row>
    <row r="69" spans="2:43" s="8" customFormat="1" ht="12.75" hidden="1" customHeight="1" x14ac:dyDescent="0.25">
      <c r="B69" s="6"/>
      <c r="C69" s="6"/>
      <c r="D69" s="43" t="str">
        <f t="shared" si="15"/>
        <v>Wohnhausumbau</v>
      </c>
      <c r="E69" s="9"/>
      <c r="L69" s="95"/>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row>
    <row r="70" spans="2:43" s="8" customFormat="1" ht="12.75" hidden="1" customHeight="1" x14ac:dyDescent="0.25">
      <c r="B70" s="6"/>
      <c r="C70" s="6"/>
      <c r="D70" s="43" t="str">
        <f t="shared" si="15"/>
        <v>Rückzahlung Darlehen</v>
      </c>
      <c r="E70" s="9"/>
      <c r="L70" s="95"/>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row>
    <row r="71" spans="2:43" s="8" customFormat="1" ht="12.75" hidden="1" customHeight="1" x14ac:dyDescent="0.25">
      <c r="B71" s="6"/>
      <c r="C71" s="6"/>
      <c r="D71" s="43" t="str">
        <f t="shared" si="15"/>
        <v xml:space="preserve">Darl.: Tilgung </v>
      </c>
      <c r="E71" s="9"/>
      <c r="L71" s="95"/>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row>
    <row r="72" spans="2:43" s="8" customFormat="1" ht="12.75" hidden="1" customHeight="1" x14ac:dyDescent="0.25">
      <c r="B72" s="6"/>
      <c r="C72" s="6"/>
      <c r="D72" s="43" t="str">
        <f t="shared" si="15"/>
        <v>Darl.: Zinsen</v>
      </c>
      <c r="E72" s="9"/>
      <c r="L72" s="95"/>
    </row>
    <row r="73" spans="2:43" s="6" customFormat="1" ht="12.75" hidden="1" customHeight="1" x14ac:dyDescent="0.25">
      <c r="D73" s="43" t="str">
        <f t="shared" si="15"/>
        <v>Eigenverbrauch Schafmilchprodukte</v>
      </c>
      <c r="E73" s="9"/>
      <c r="L73" s="95"/>
    </row>
    <row r="74" spans="2:43" s="6" customFormat="1" ht="12.75" hidden="1" customHeight="1" x14ac:dyDescent="0.25">
      <c r="D74" s="43" t="str">
        <f>D41</f>
        <v>Afa Gebäude</v>
      </c>
      <c r="E74" s="9"/>
      <c r="L74" s="95"/>
    </row>
    <row r="75" spans="2:43" s="6" customFormat="1" ht="12.75" hidden="1" customHeight="1" x14ac:dyDescent="0.25">
      <c r="D75" s="43" t="str">
        <f>D42</f>
        <v>Afa Maschinen</v>
      </c>
      <c r="E75" s="9"/>
      <c r="L75" s="95"/>
    </row>
    <row r="76" spans="2:43" s="6" customFormat="1" ht="12.75" hidden="1" customHeight="1" x14ac:dyDescent="0.25">
      <c r="D76" s="43" t="str">
        <f>D44</f>
        <v>Mehrwert Schafe</v>
      </c>
      <c r="E76" s="9"/>
    </row>
    <row r="77" spans="2:43" s="6" customFormat="1" ht="12.75" hidden="1" customHeight="1" x14ac:dyDescent="0.25">
      <c r="D77" s="43" t="str">
        <f>D45</f>
        <v>Minderwert se. Vorr. (Schafskäse)</v>
      </c>
      <c r="E77" s="9"/>
    </row>
    <row r="78" spans="2:43" s="6" customFormat="1" ht="12.75" hidden="1" customHeight="1" x14ac:dyDescent="0.25">
      <c r="D78" s="43" t="str">
        <f>D46</f>
        <v>Mehrwert zk. Vorr. (Treibstoff)</v>
      </c>
      <c r="E78" s="9"/>
    </row>
    <row r="79" spans="2:43" s="6" customFormat="1" ht="12.75" hidden="1" customHeight="1" x14ac:dyDescent="0.25">
      <c r="D79" s="43" t="str">
        <f>IF('H-BK'!D3="","---","S. "&amp;'H-BK'!D3)</f>
        <v>S. Maschinen und Geräte</v>
      </c>
      <c r="E79" s="9"/>
    </row>
    <row r="80" spans="2:43" s="6" customFormat="1" ht="12.75" hidden="1" customHeight="1" x14ac:dyDescent="0.25">
      <c r="D80" s="43" t="str">
        <f>IF('H-BK'!D11="","---","S. "&amp;'H-BK'!D11)</f>
        <v>S. Kassa</v>
      </c>
      <c r="E80" s="9"/>
    </row>
    <row r="81" spans="2:5" s="6" customFormat="1" ht="12.75" hidden="1" customHeight="1" x14ac:dyDescent="0.25">
      <c r="B81" s="22"/>
      <c r="C81" s="22"/>
      <c r="D81" s="43" t="str">
        <f>IF('H-BK'!D19="","---","S. "&amp;'H-BK'!D19)</f>
        <v>S. Tiroler Schafzuchtverband (TSV)</v>
      </c>
      <c r="E81" s="9"/>
    </row>
    <row r="82" spans="2:5" s="6" customFormat="1" ht="12.75" hidden="1" customHeight="1" x14ac:dyDescent="0.2">
      <c r="B82" s="48"/>
      <c r="C82" s="48"/>
      <c r="D82" s="43" t="str">
        <f>IF('H-BK'!D27="","---","S. "&amp;'H-BK'!D27)</f>
        <v>S. Metzger Müller</v>
      </c>
      <c r="E82" s="9"/>
    </row>
    <row r="83" spans="2:5" s="6" customFormat="1" ht="12.75" hidden="1" customHeight="1" x14ac:dyDescent="0.2">
      <c r="B83" s="48"/>
      <c r="C83" s="48"/>
      <c r="D83" s="43" t="str">
        <f>IF('H-BK'!J3="","---","S. "&amp;'H-BK'!J3)</f>
        <v>S. Betriebs- und Geschäftsgebäude</v>
      </c>
      <c r="E83" s="9"/>
    </row>
    <row r="84" spans="2:5" s="6" customFormat="1" ht="12.75" hidden="1" customHeight="1" x14ac:dyDescent="0.2">
      <c r="B84" s="48"/>
      <c r="C84" s="48"/>
      <c r="D84" s="43" t="str">
        <f>IF('H-BK'!J11="","---","S. "&amp;'H-BK'!J11)</f>
        <v>S. Bank - betrieblich 1</v>
      </c>
      <c r="E84" s="9"/>
    </row>
    <row r="85" spans="2:5" s="6" customFormat="1" ht="12.75" hidden="1" customHeight="1" x14ac:dyDescent="0.2">
      <c r="B85" s="48"/>
      <c r="C85" s="48"/>
      <c r="D85" s="43" t="str">
        <f>IF('H-BK'!J27="","---","S. "&amp;'H-BK'!J27)</f>
        <v>S. Darlehen - betrieblich</v>
      </c>
      <c r="E85" s="9"/>
    </row>
    <row r="86" spans="2:5" s="6" customFormat="1" ht="12.75" hidden="1" customHeight="1" x14ac:dyDescent="0.2">
      <c r="B86" s="48"/>
      <c r="C86" s="48"/>
      <c r="D86" s="43" t="str">
        <f>IF('H-BK'!P3="","---","S. "&amp;'H-BK'!P3)</f>
        <v>S. Zugekaufte Vorräte 20%</v>
      </c>
      <c r="E86" s="9"/>
    </row>
    <row r="87" spans="2:5" s="6" customFormat="1" ht="12.75" hidden="1" customHeight="1" x14ac:dyDescent="0.2">
      <c r="B87" s="48"/>
      <c r="C87" s="48"/>
      <c r="D87" s="43" t="str">
        <f>IF('H-BK'!P11="","---","S. "&amp;'H-BK'!P11)</f>
        <v>S. Selbst erzeugte Vorräte</v>
      </c>
      <c r="E87" s="9"/>
    </row>
    <row r="88" spans="2:5" s="6" customFormat="1" ht="12.75" hidden="1" customHeight="1" x14ac:dyDescent="0.2">
      <c r="B88" s="48"/>
      <c r="C88" s="48"/>
      <c r="D88" s="43" t="str">
        <f>IF('H-BK'!P19="","---","S. "&amp;'H-BK'!P19)</f>
        <v>S. Bestand Vieh</v>
      </c>
      <c r="E88" s="9"/>
    </row>
    <row r="89" spans="2:5" s="6" customFormat="1" ht="12.75" hidden="1" customHeight="1" x14ac:dyDescent="0.2">
      <c r="B89" s="48"/>
      <c r="C89" s="48"/>
      <c r="D89" s="43" t="str">
        <f>IF('H-BK'!P27="","---","S. "&amp;'H-BK'!P27)</f>
        <v>S. Maschinenring Imst</v>
      </c>
      <c r="E89" s="9"/>
    </row>
    <row r="90" spans="2:5" s="6" customFormat="1" ht="12.75" hidden="1" customHeight="1" x14ac:dyDescent="0.25">
      <c r="D90" s="43" t="str">
        <f>IF('H-EK'!D3="","---","S. "&amp;'H-EK'!D3)</f>
        <v>S. Einnahmen Schafe</v>
      </c>
      <c r="E90" s="9"/>
    </row>
    <row r="91" spans="2:5" s="6" customFormat="1" ht="12.75" hidden="1" customHeight="1" x14ac:dyDescent="0.25">
      <c r="B91" s="573"/>
      <c r="C91" s="573"/>
      <c r="D91" s="43" t="str">
        <f>IF('H-EK'!D19="","---","S. "&amp;'H-EK'!D19)</f>
        <v>S. Treibstoff Diesel</v>
      </c>
      <c r="E91" s="9"/>
    </row>
    <row r="92" spans="2:5" s="6" customFormat="1" ht="12.75" hidden="1" customHeight="1" x14ac:dyDescent="0.25">
      <c r="D92" s="43" t="str">
        <f>IF('H-EK'!D27="","---","S. "&amp;'H-EK'!D27)</f>
        <v>S. Abschreibung Sachanlagevermögen</v>
      </c>
      <c r="E92" s="9"/>
    </row>
    <row r="93" spans="2:5" s="6" customFormat="1" ht="12.75" hidden="1" customHeight="1" x14ac:dyDescent="0.25">
      <c r="D93" s="43" t="str">
        <f>IF('H-EK'!J3="","---","S. "&amp;'H-EK'!J3)</f>
        <v>---</v>
      </c>
      <c r="E93" s="9"/>
    </row>
    <row r="94" spans="2:5" s="6" customFormat="1" ht="12.75" hidden="1" customHeight="1" x14ac:dyDescent="0.25">
      <c r="D94" s="43" t="str">
        <f>IF('H-EK'!J11="","---","S. "&amp;'H-EK'!J11)</f>
        <v>---</v>
      </c>
      <c r="E94" s="9"/>
    </row>
    <row r="95" spans="2:5" s="6" customFormat="1" ht="12.75" hidden="1" customHeight="1" x14ac:dyDescent="0.25">
      <c r="D95" s="43" t="str">
        <f>IF('H-EK'!J19="","---","S. "&amp;'H-EK'!J19)</f>
        <v>---</v>
      </c>
      <c r="E95" s="9"/>
    </row>
    <row r="96" spans="2:5" s="6" customFormat="1" ht="12.75" hidden="1" customHeight="1" x14ac:dyDescent="0.25">
      <c r="B96" s="8"/>
      <c r="C96" s="8"/>
      <c r="D96" s="43" t="str">
        <f>IF('H-EK'!J27="","---","S. "&amp;'H-EK'!J27)</f>
        <v>---</v>
      </c>
      <c r="E96" s="9"/>
    </row>
    <row r="97" spans="2:5" s="6" customFormat="1" ht="12.75" hidden="1" customHeight="1" x14ac:dyDescent="0.25">
      <c r="B97" s="8"/>
      <c r="C97" s="8"/>
      <c r="D97" s="43" t="str">
        <f>IF('H-EK'!P3="","---","S. "&amp;'H-EK'!P3)</f>
        <v>---</v>
      </c>
      <c r="E97" s="9"/>
    </row>
    <row r="98" spans="2:5" s="6" customFormat="1" ht="12.75" hidden="1" customHeight="1" x14ac:dyDescent="0.25">
      <c r="B98" s="8"/>
      <c r="C98" s="8"/>
      <c r="D98" s="43" t="str">
        <f>IF('H-EK'!P11="","---","S. "&amp;'H-EK'!P11)</f>
        <v>---</v>
      </c>
      <c r="E98" s="9"/>
    </row>
    <row r="99" spans="2:5" s="6" customFormat="1" ht="12.75" hidden="1" customHeight="1" x14ac:dyDescent="0.25">
      <c r="B99" s="8"/>
      <c r="C99" s="8"/>
      <c r="D99" s="43" t="str">
        <f>IF('H-EK'!P19="","---","S. "&amp;'H-EK'!P19)</f>
        <v>---</v>
      </c>
      <c r="E99" s="9"/>
    </row>
    <row r="100" spans="2:5" s="6" customFormat="1" ht="12.75" hidden="1" customHeight="1" x14ac:dyDescent="0.25">
      <c r="B100" s="8"/>
      <c r="C100" s="8"/>
      <c r="D100" s="43" t="str">
        <f>IF('H-EK'!P27="","---","S. "&amp;'H-EK'!P27)</f>
        <v>S. Zinsen für Bankkredite</v>
      </c>
      <c r="E100" s="9"/>
    </row>
    <row r="101" spans="2:5" s="6" customFormat="1" ht="12.75" hidden="1" customHeight="1" x14ac:dyDescent="0.25">
      <c r="B101" s="8"/>
      <c r="C101" s="8"/>
      <c r="D101" s="43" t="str">
        <f>IF('H-EAK'!D3="","---","S. "&amp;'H-EAK'!D3)</f>
        <v>S. Privat</v>
      </c>
      <c r="E101" s="9"/>
    </row>
    <row r="102" spans="2:5" s="6" customFormat="1" ht="12.75" hidden="1" customHeight="1" x14ac:dyDescent="0.25">
      <c r="B102" s="8"/>
      <c r="C102" s="8"/>
      <c r="D102" s="43" t="str">
        <f>IF('H-EAK'!D11="","---","S. "&amp;'H-EAK'!D11)</f>
        <v>S. Eröffnungsbilanzkonto (EBK)</v>
      </c>
      <c r="E102" s="9"/>
    </row>
    <row r="103" spans="2:5" s="6" customFormat="1" ht="12.75" hidden="1" customHeight="1" x14ac:dyDescent="0.25">
      <c r="B103" s="8"/>
      <c r="C103" s="8"/>
      <c r="D103" s="43" t="str">
        <f>IF('H-EAK'!J3="","---","S. "&amp;'H-EAK'!J3)</f>
        <v>S. Schlussbilanzkonto (SBK)</v>
      </c>
      <c r="E103" s="9"/>
    </row>
    <row r="104" spans="2:5" s="6" customFormat="1" ht="12.75" hidden="1" customHeight="1" x14ac:dyDescent="0.25">
      <c r="B104" s="8"/>
      <c r="C104" s="8"/>
      <c r="D104" s="43" t="str">
        <f>IF('H-EAK'!J21="","---","S. "&amp;'H-EAK'!J21)</f>
        <v>S. Kapital</v>
      </c>
      <c r="E104" s="9"/>
    </row>
    <row r="105" spans="2:5" s="6" customFormat="1" ht="12.75" hidden="1" customHeight="1" x14ac:dyDescent="0.25">
      <c r="B105" s="8"/>
      <c r="C105" s="8"/>
      <c r="D105" s="43" t="str">
        <f>IF('H-EAK'!P3="","---","S. "&amp;'H-EAK'!P3)</f>
        <v>S. Gewinn- und Verlustkonto (GuV)</v>
      </c>
      <c r="E105" s="9"/>
    </row>
    <row r="106" spans="2:5" s="6" customFormat="1" ht="12.75" hidden="1" customHeight="1" x14ac:dyDescent="0.25">
      <c r="B106" s="8"/>
      <c r="C106" s="8"/>
      <c r="D106" s="43" t="str">
        <f>IF('H-EAK'!P16="","---","S. "&amp;'H-EAK'!P16)</f>
        <v>---</v>
      </c>
      <c r="E106" s="9"/>
    </row>
    <row r="107" spans="2:5" s="6" customFormat="1" ht="12.75" hidden="1" customHeight="1" x14ac:dyDescent="0.25">
      <c r="B107" s="8"/>
      <c r="C107" s="8"/>
      <c r="D107" s="43" t="str">
        <f>IF('H-EAK'!P24="","---","S. "&amp;'H-EAK'!P24)</f>
        <v>---</v>
      </c>
      <c r="E107" s="9"/>
    </row>
    <row r="113" s="95" customFormat="1" hidden="1" x14ac:dyDescent="0.25"/>
  </sheetData>
  <sheetProtection algorithmName="SHA-512" hashValue="z+wYrsIafyWyOb1YA2OHVOKHw4zBLeAcv3JqwRnOsg3Jp/OVRUQTZCXFSc++Mbf26CguGRGpIZ2TYqp3HQeC4g==" saltValue="C5Tx8SJsazxDjqAKzWaxIQ==" spinCount="100000" sheet="1" objects="1" scenarios="1" selectLockedCells="1"/>
  <mergeCells count="11">
    <mergeCell ref="F27:G27"/>
    <mergeCell ref="F28:G28"/>
    <mergeCell ref="F29:G29"/>
    <mergeCell ref="F31:G31"/>
    <mergeCell ref="F32:G32"/>
    <mergeCell ref="F26:G26"/>
    <mergeCell ref="F21:G21"/>
    <mergeCell ref="F22:G22"/>
    <mergeCell ref="F23:G23"/>
    <mergeCell ref="F24:G24"/>
    <mergeCell ref="F25:G25"/>
  </mergeCells>
  <conditionalFormatting sqref="J9:J18">
    <cfRule type="cellIs" dxfId="10" priority="4" stopIfTrue="1" operator="equal">
      <formula>""</formula>
    </cfRule>
  </conditionalFormatting>
  <conditionalFormatting sqref="J22:J36">
    <cfRule type="cellIs" dxfId="9" priority="3" stopIfTrue="1" operator="equal">
      <formula>""</formula>
    </cfRule>
  </conditionalFormatting>
  <conditionalFormatting sqref="J41:J42">
    <cfRule type="cellIs" dxfId="8" priority="2" stopIfTrue="1" operator="equal">
      <formula>""</formula>
    </cfRule>
  </conditionalFormatting>
  <conditionalFormatting sqref="J44:J46">
    <cfRule type="cellIs" dxfId="7" priority="1" stopIfTrue="1" operator="equal">
      <formula>""</formula>
    </cfRule>
  </conditionalFormatting>
  <dataValidations count="1">
    <dataValidation type="list" allowBlank="1" showInputMessage="1" showErrorMessage="1" sqref="E4" xr:uid="{00000000-0002-0000-0000-000000000000}">
      <formula1>Gruppen</formula1>
    </dataValidation>
  </dataValidation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S103"/>
  <sheetViews>
    <sheetView showGridLines="0" showRowColHeaders="0" workbookViewId="0">
      <pane ySplit="2" topLeftCell="A3" activePane="bottomLeft" state="frozen"/>
      <selection activeCell="A2" sqref="A1:A1048576"/>
      <selection pane="bottomLeft" activeCell="A2" sqref="A1:A1048576"/>
    </sheetView>
  </sheetViews>
  <sheetFormatPr baseColWidth="10" defaultColWidth="0" defaultRowHeight="15" zeroHeight="1" x14ac:dyDescent="0.25"/>
  <cols>
    <col min="1" max="1" width="0.140625" style="95" customWidth="1"/>
    <col min="2" max="2" width="4.7109375" customWidth="1"/>
    <col min="3" max="3" width="5.7109375" customWidth="1"/>
    <col min="4" max="4" width="22.7109375" customWidth="1"/>
    <col min="5" max="6" width="11.7109375" customWidth="1"/>
    <col min="7" max="7" width="1.7109375" customWidth="1"/>
    <col min="8" max="8" width="4.7109375" customWidth="1"/>
    <col min="9" max="9" width="5.7109375" customWidth="1"/>
    <col min="10" max="10" width="22.7109375" customWidth="1"/>
    <col min="11" max="12" width="11.7109375" customWidth="1"/>
    <col min="13" max="13" width="1.7109375" customWidth="1"/>
    <col min="14" max="14" width="4.7109375" customWidth="1"/>
    <col min="15" max="15" width="5.7109375" customWidth="1"/>
    <col min="16" max="16" width="22.7109375" customWidth="1"/>
    <col min="17" max="18" width="11.7109375" customWidth="1"/>
    <col min="19" max="19" width="2.7109375" customWidth="1"/>
    <col min="20" max="16384" width="11.42578125" hidden="1"/>
  </cols>
  <sheetData>
    <row r="1" spans="1:19" s="173" customFormat="1" ht="27" customHeight="1" x14ac:dyDescent="0.2">
      <c r="A1" s="48"/>
      <c r="B1" s="306" t="s">
        <v>116</v>
      </c>
      <c r="C1" s="306"/>
      <c r="D1" s="306"/>
      <c r="E1" s="306"/>
      <c r="F1" s="306"/>
      <c r="G1" s="306"/>
      <c r="H1" s="306"/>
      <c r="I1" s="306"/>
      <c r="J1" s="306"/>
      <c r="K1" s="306"/>
      <c r="L1" s="306"/>
      <c r="M1" s="306"/>
      <c r="N1" s="306"/>
      <c r="O1" s="306"/>
      <c r="P1" s="306"/>
      <c r="Q1" s="306"/>
      <c r="R1" s="306"/>
      <c r="S1" s="306"/>
    </row>
    <row r="2" spans="1:19" s="173" customFormat="1" ht="30" customHeight="1" x14ac:dyDescent="0.2">
      <c r="A2" s="48"/>
      <c r="B2" s="177"/>
      <c r="C2" s="174"/>
      <c r="D2" s="175"/>
      <c r="E2" s="176"/>
      <c r="F2" s="176"/>
      <c r="G2" s="177"/>
      <c r="H2" s="177"/>
      <c r="I2" s="174"/>
      <c r="J2" s="178"/>
      <c r="K2" s="176"/>
      <c r="L2" s="176"/>
      <c r="M2" s="177"/>
      <c r="N2" s="177"/>
      <c r="O2" s="174"/>
      <c r="P2" s="175"/>
      <c r="Q2" s="176"/>
      <c r="R2" s="176"/>
    </row>
    <row r="3" spans="1:19" s="173" customFormat="1" ht="20.100000000000001" customHeight="1" x14ac:dyDescent="0.2">
      <c r="A3" s="48"/>
      <c r="B3" s="179"/>
      <c r="C3" s="180"/>
      <c r="D3" s="181" t="str">
        <f>IF(F3="","",VLOOKUP(F3,KTOPL,2,0))</f>
        <v>Einnahmen Schafe</v>
      </c>
      <c r="E3" s="182" t="s">
        <v>105</v>
      </c>
      <c r="F3" s="183" t="s">
        <v>118</v>
      </c>
      <c r="H3" s="179"/>
      <c r="I3" s="180"/>
      <c r="J3" s="181" t="str">
        <f>IF(L3="","",VLOOKUP(L3,KTOPL,2,0))</f>
        <v/>
      </c>
      <c r="K3" s="182" t="s">
        <v>105</v>
      </c>
      <c r="L3" s="199"/>
      <c r="N3" s="179"/>
      <c r="O3" s="180"/>
      <c r="P3" s="181" t="str">
        <f>IF(R3="","",VLOOKUP(R3,KTOPL,2,0))</f>
        <v/>
      </c>
      <c r="Q3" s="182" t="s">
        <v>105</v>
      </c>
      <c r="R3" s="183"/>
    </row>
    <row r="4" spans="1:19" s="173" customFormat="1" ht="20.100000000000001" customHeight="1" x14ac:dyDescent="0.2">
      <c r="A4" s="48"/>
      <c r="B4" s="184" t="s">
        <v>106</v>
      </c>
      <c r="C4" s="185" t="s">
        <v>107</v>
      </c>
      <c r="D4" s="184" t="s">
        <v>11</v>
      </c>
      <c r="E4" s="186" t="s">
        <v>108</v>
      </c>
      <c r="F4" s="186" t="s">
        <v>109</v>
      </c>
      <c r="H4" s="184" t="s">
        <v>106</v>
      </c>
      <c r="I4" s="185" t="s">
        <v>107</v>
      </c>
      <c r="J4" s="184" t="s">
        <v>11</v>
      </c>
      <c r="K4" s="186" t="s">
        <v>108</v>
      </c>
      <c r="L4" s="186" t="s">
        <v>109</v>
      </c>
      <c r="N4" s="184" t="s">
        <v>106</v>
      </c>
      <c r="O4" s="185" t="s">
        <v>107</v>
      </c>
      <c r="P4" s="184" t="s">
        <v>11</v>
      </c>
      <c r="Q4" s="186" t="s">
        <v>108</v>
      </c>
      <c r="R4" s="186" t="s">
        <v>109</v>
      </c>
    </row>
    <row r="5" spans="1:19" s="173" customFormat="1" ht="20.100000000000001" customHeight="1" x14ac:dyDescent="0.2">
      <c r="A5" s="48"/>
      <c r="B5" s="187" t="str">
        <f>'H-BF'!A21</f>
        <v>A1</v>
      </c>
      <c r="C5" s="188" t="str">
        <f>'H-BF'!B21</f>
        <v>21.03.</v>
      </c>
      <c r="D5" s="137" t="str">
        <f>'H-BF'!C21</f>
        <v>Zuchtschafverkauf</v>
      </c>
      <c r="E5" s="189"/>
      <c r="F5" s="190">
        <f>'H-BF'!D21</f>
        <v>673.9</v>
      </c>
      <c r="G5" s="209"/>
      <c r="H5" s="191"/>
      <c r="I5" s="192"/>
      <c r="J5" s="191"/>
      <c r="K5" s="193"/>
      <c r="L5" s="193"/>
      <c r="M5" s="209"/>
      <c r="N5" s="187"/>
      <c r="O5" s="188"/>
      <c r="P5" s="137"/>
      <c r="Q5" s="189"/>
      <c r="R5" s="190"/>
    </row>
    <row r="6" spans="1:19" s="173" customFormat="1" ht="20.100000000000001" customHeight="1" x14ac:dyDescent="0.2">
      <c r="A6" s="48"/>
      <c r="B6" s="191" t="str">
        <f>'H-BF'!A24</f>
        <v>K2</v>
      </c>
      <c r="C6" s="192" t="str">
        <f>'H-BF'!B24</f>
        <v>14.07.</v>
      </c>
      <c r="D6" s="191" t="str">
        <f>'H-BF'!C24</f>
        <v>Milchgeld (Schafmilch, Sammelbeleg)</v>
      </c>
      <c r="E6" s="193"/>
      <c r="F6" s="193">
        <f>'H-BF'!D24</f>
        <v>3535.3</v>
      </c>
      <c r="G6" s="209"/>
      <c r="H6" s="191"/>
      <c r="I6" s="192"/>
      <c r="J6" s="191"/>
      <c r="K6" s="193"/>
      <c r="L6" s="193"/>
      <c r="M6" s="209"/>
      <c r="N6" s="191"/>
      <c r="O6" s="192"/>
      <c r="P6" s="191"/>
      <c r="Q6" s="193"/>
      <c r="R6" s="193"/>
    </row>
    <row r="7" spans="1:19" s="173" customFormat="1" ht="20.100000000000001" customHeight="1" x14ac:dyDescent="0.2">
      <c r="A7" s="48"/>
      <c r="B7" s="191" t="str">
        <f>'H-BF'!A29</f>
        <v>UB1</v>
      </c>
      <c r="C7" s="192" t="str">
        <f>'H-BF'!B29</f>
        <v>30.11.</v>
      </c>
      <c r="D7" s="191" t="str">
        <f>'H-BF'!C29</f>
        <v>Eigenverbrauch Schafmilchprodukte</v>
      </c>
      <c r="E7" s="193"/>
      <c r="F7" s="193">
        <f>'H-BF'!F31</f>
        <v>1498.7999999999997</v>
      </c>
      <c r="G7" s="209"/>
      <c r="H7" s="191"/>
      <c r="I7" s="192"/>
      <c r="J7" s="191"/>
      <c r="K7" s="193"/>
      <c r="L7" s="193"/>
      <c r="M7" s="209"/>
      <c r="N7" s="191"/>
      <c r="O7" s="192"/>
      <c r="P7" s="191"/>
      <c r="Q7" s="193"/>
      <c r="R7" s="193"/>
    </row>
    <row r="8" spans="1:19" s="173" customFormat="1" ht="20.100000000000001" customHeight="1" x14ac:dyDescent="0.2">
      <c r="A8" s="48"/>
      <c r="B8" s="191" t="str">
        <f>'H-BF'!A40</f>
        <v>AB</v>
      </c>
      <c r="C8" s="192" t="str">
        <f>'H-BF'!B40</f>
        <v>31.12.</v>
      </c>
      <c r="D8" s="191" t="str">
        <f>'H-BF'!C40</f>
        <v>Mehrwert Schafe</v>
      </c>
      <c r="E8" s="193"/>
      <c r="F8" s="193">
        <f>'H-BF'!D40</f>
        <v>502.9</v>
      </c>
      <c r="G8" s="209"/>
      <c r="H8" s="194" t="s">
        <v>66</v>
      </c>
      <c r="I8" s="195" t="s">
        <v>67</v>
      </c>
      <c r="J8" s="194" t="s">
        <v>110</v>
      </c>
      <c r="K8" s="196" t="str">
        <f>IF(SUM(K5:K7)&gt;=SUM(L5:L7),"",L9-SUM(K5:K7))</f>
        <v/>
      </c>
      <c r="L8" s="196" t="str">
        <f>IF(SUM(L5:L7)&gt;=SUM(K5:K7),"",K9-SUM(L5:L7))</f>
        <v/>
      </c>
      <c r="M8" s="209"/>
      <c r="N8" s="194" t="s">
        <v>66</v>
      </c>
      <c r="O8" s="195" t="s">
        <v>67</v>
      </c>
      <c r="P8" s="194" t="s">
        <v>110</v>
      </c>
      <c r="Q8" s="196" t="str">
        <f>IF(SUM(Q5:Q7)&gt;=SUM(R5:R7),"",R9-SUM(Q5:Q7))</f>
        <v/>
      </c>
      <c r="R8" s="196" t="str">
        <f>IF(SUM(R5:R7)&gt;=SUM(Q5:Q7),"",Q9-SUM(R5:R7))</f>
        <v/>
      </c>
    </row>
    <row r="9" spans="1:19" s="173" customFormat="1" ht="20.100000000000001" customHeight="1" thickBot="1" x14ac:dyDescent="0.25">
      <c r="A9" s="48"/>
      <c r="B9" s="187" t="str">
        <f>'H-BF'!A41</f>
        <v>AB</v>
      </c>
      <c r="C9" s="188" t="str">
        <f>'H-BF'!B41</f>
        <v>31.12.</v>
      </c>
      <c r="D9" s="137" t="str">
        <f>'H-BF'!C41</f>
        <v>Minderwert se. Vorr. (Schafskäse)</v>
      </c>
      <c r="E9" s="189">
        <f>'H-BF'!D41</f>
        <v>1041.5999999999999</v>
      </c>
      <c r="F9" s="190"/>
      <c r="H9" s="139"/>
      <c r="I9" s="140"/>
      <c r="J9" s="141" t="s">
        <v>111</v>
      </c>
      <c r="K9" s="142" t="str">
        <f>IF(SUM(K5:K8)=0,"",SUM(K5:K8))</f>
        <v/>
      </c>
      <c r="L9" s="142" t="str">
        <f>IF(SUM(L5:L8)=0,"",SUM(L5:L8))</f>
        <v/>
      </c>
      <c r="N9" s="139"/>
      <c r="O9" s="140"/>
      <c r="P9" s="141" t="s">
        <v>111</v>
      </c>
      <c r="Q9" s="142" t="str">
        <f>IF(SUM(Q5:Q8)=0,"",SUM(Q5:Q8))</f>
        <v/>
      </c>
      <c r="R9" s="142" t="str">
        <f>IF(SUM(R5:R8)=0,"",SUM(R5:R8))</f>
        <v/>
      </c>
    </row>
    <row r="10" spans="1:19" s="173" customFormat="1" ht="20.100000000000001" customHeight="1" thickTop="1" x14ac:dyDescent="0.2">
      <c r="A10" s="48"/>
      <c r="B10" s="194"/>
      <c r="C10" s="195"/>
      <c r="D10" s="194"/>
      <c r="E10" s="196"/>
      <c r="F10" s="196"/>
      <c r="I10" s="197"/>
      <c r="K10" s="198"/>
      <c r="L10" s="198"/>
      <c r="O10" s="197"/>
      <c r="P10" s="116"/>
      <c r="Q10" s="198"/>
      <c r="R10" s="198"/>
    </row>
    <row r="11" spans="1:19" s="173" customFormat="1" ht="20.100000000000001" customHeight="1" x14ac:dyDescent="0.2">
      <c r="A11" s="48"/>
      <c r="B11" s="194"/>
      <c r="C11" s="195"/>
      <c r="D11" s="194"/>
      <c r="E11" s="196"/>
      <c r="F11" s="196"/>
      <c r="H11" s="179"/>
      <c r="I11" s="180"/>
      <c r="J11" s="181" t="str">
        <f>IF(L11="","",VLOOKUP(L11,KTOPL,2,0))</f>
        <v/>
      </c>
      <c r="K11" s="182" t="s">
        <v>105</v>
      </c>
      <c r="L11" s="199"/>
      <c r="N11" s="179"/>
      <c r="O11" s="180"/>
      <c r="P11" s="181" t="str">
        <f>IF(R11="","",VLOOKUP(R11,KTOPL,2,0))</f>
        <v/>
      </c>
      <c r="Q11" s="182" t="s">
        <v>105</v>
      </c>
      <c r="R11" s="199"/>
    </row>
    <row r="12" spans="1:19" s="173" customFormat="1" ht="20.100000000000001" customHeight="1" x14ac:dyDescent="0.2">
      <c r="A12" s="48"/>
      <c r="B12" s="194"/>
      <c r="C12" s="195"/>
      <c r="D12" s="194"/>
      <c r="E12" s="196"/>
      <c r="F12" s="196"/>
      <c r="H12" s="184" t="s">
        <v>106</v>
      </c>
      <c r="I12" s="185" t="s">
        <v>107</v>
      </c>
      <c r="J12" s="184" t="s">
        <v>11</v>
      </c>
      <c r="K12" s="186" t="s">
        <v>108</v>
      </c>
      <c r="L12" s="186" t="s">
        <v>109</v>
      </c>
      <c r="N12" s="184" t="s">
        <v>106</v>
      </c>
      <c r="O12" s="185" t="s">
        <v>107</v>
      </c>
      <c r="P12" s="184" t="s">
        <v>11</v>
      </c>
      <c r="Q12" s="186" t="s">
        <v>108</v>
      </c>
      <c r="R12" s="186" t="s">
        <v>109</v>
      </c>
    </row>
    <row r="13" spans="1:19" s="173" customFormat="1" ht="20.100000000000001" customHeight="1" x14ac:dyDescent="0.2">
      <c r="A13" s="48"/>
      <c r="B13" s="194"/>
      <c r="C13" s="195"/>
      <c r="D13" s="194"/>
      <c r="E13" s="196"/>
      <c r="F13" s="196"/>
      <c r="G13" s="209"/>
      <c r="H13" s="191"/>
      <c r="I13" s="192"/>
      <c r="J13" s="191"/>
      <c r="K13" s="193"/>
      <c r="L13" s="193"/>
      <c r="M13" s="209"/>
      <c r="N13" s="191"/>
      <c r="O13" s="192"/>
      <c r="P13" s="191"/>
      <c r="Q13" s="193"/>
      <c r="R13" s="193"/>
    </row>
    <row r="14" spans="1:19" s="173" customFormat="1" ht="20.100000000000001" customHeight="1" x14ac:dyDescent="0.2">
      <c r="A14" s="48"/>
      <c r="B14" s="194"/>
      <c r="C14" s="195"/>
      <c r="D14" s="194"/>
      <c r="E14" s="196"/>
      <c r="F14" s="196"/>
      <c r="G14" s="209"/>
      <c r="H14" s="191"/>
      <c r="I14" s="192"/>
      <c r="J14" s="191"/>
      <c r="K14" s="193"/>
      <c r="L14" s="193"/>
      <c r="M14" s="209"/>
      <c r="N14" s="191"/>
      <c r="O14" s="192"/>
      <c r="P14" s="191"/>
      <c r="Q14" s="193"/>
      <c r="R14" s="193"/>
    </row>
    <row r="15" spans="1:19" s="173" customFormat="1" ht="20.100000000000001" customHeight="1" x14ac:dyDescent="0.2">
      <c r="A15" s="48"/>
      <c r="B15" s="194"/>
      <c r="C15" s="195"/>
      <c r="D15" s="194"/>
      <c r="E15" s="196"/>
      <c r="F15" s="196"/>
      <c r="G15" s="209"/>
      <c r="H15" s="191"/>
      <c r="I15" s="192"/>
      <c r="J15" s="191"/>
      <c r="K15" s="193"/>
      <c r="L15" s="193"/>
      <c r="M15" s="209"/>
      <c r="N15" s="191"/>
      <c r="O15" s="192"/>
      <c r="P15" s="191"/>
      <c r="Q15" s="193"/>
      <c r="R15" s="193"/>
    </row>
    <row r="16" spans="1:19" s="173" customFormat="1" ht="20.100000000000001" customHeight="1" x14ac:dyDescent="0.2">
      <c r="A16" s="48"/>
      <c r="B16" s="194" t="s">
        <v>66</v>
      </c>
      <c r="C16" s="195" t="s">
        <v>67</v>
      </c>
      <c r="D16" s="194" t="s">
        <v>110</v>
      </c>
      <c r="E16" s="196">
        <f>IF(SUM(E5:E15)&gt;=SUM(F5:F15),"",F17-SUM(E5:E15))</f>
        <v>5169.2999999999993</v>
      </c>
      <c r="F16" s="196" t="str">
        <f>IF(SUM(F5:F15)&gt;=SUM(E5:E15),"",E17-SUM(F5:F15))</f>
        <v/>
      </c>
      <c r="G16" s="209"/>
      <c r="H16" s="194" t="s">
        <v>66</v>
      </c>
      <c r="I16" s="195" t="s">
        <v>67</v>
      </c>
      <c r="J16" s="194" t="s">
        <v>110</v>
      </c>
      <c r="K16" s="196" t="str">
        <f>IF(SUM(K13:K15)&gt;=SUM(L13:L15),"",L17-SUM(K13:K15))</f>
        <v/>
      </c>
      <c r="L16" s="196" t="str">
        <f>IF(SUM(L13:L15)&gt;=SUM(K13:K15),"",K17-SUM(L13:L15))</f>
        <v/>
      </c>
      <c r="M16" s="209"/>
      <c r="N16" s="194" t="s">
        <v>66</v>
      </c>
      <c r="O16" s="195" t="s">
        <v>67</v>
      </c>
      <c r="P16" s="194" t="s">
        <v>110</v>
      </c>
      <c r="Q16" s="196" t="str">
        <f>IF(SUM(Q13:Q15)&gt;=SUM(R13:R15),"",R17-SUM(Q13:Q15))</f>
        <v/>
      </c>
      <c r="R16" s="196" t="str">
        <f>IF(SUM(R13:R15)&gt;=SUM(Q13:Q15),"",Q17-SUM(R13:R15))</f>
        <v/>
      </c>
    </row>
    <row r="17" spans="1:18" s="173" customFormat="1" ht="20.100000000000001" customHeight="1" thickBot="1" x14ac:dyDescent="0.25">
      <c r="A17" s="48"/>
      <c r="B17" s="139"/>
      <c r="C17" s="140"/>
      <c r="D17" s="141" t="s">
        <v>111</v>
      </c>
      <c r="E17" s="142">
        <f>IF(SUM(E5:E16)=0,"",SUM(E5:E16))</f>
        <v>6210.9</v>
      </c>
      <c r="F17" s="142">
        <f>IF(SUM(F5:F16)=0,"",SUM(F5:F16))</f>
        <v>6210.9</v>
      </c>
      <c r="H17" s="139"/>
      <c r="I17" s="140"/>
      <c r="J17" s="141" t="s">
        <v>111</v>
      </c>
      <c r="K17" s="142" t="str">
        <f>IF(SUM(K13:K16)=0,"",SUM(K13:K16))</f>
        <v/>
      </c>
      <c r="L17" s="142" t="str">
        <f>IF(SUM(L13:L16)=0,"",SUM(L13:L16))</f>
        <v/>
      </c>
      <c r="N17" s="139"/>
      <c r="O17" s="140"/>
      <c r="P17" s="141" t="s">
        <v>111</v>
      </c>
      <c r="Q17" s="142" t="str">
        <f>IF(SUM(Q13:Q16)=0,"",SUM(Q13:Q16))</f>
        <v/>
      </c>
      <c r="R17" s="142" t="str">
        <f>IF(SUM(R13:R16)=0,"",SUM(R13:R16))</f>
        <v/>
      </c>
    </row>
    <row r="18" spans="1:18" s="173" customFormat="1" ht="20.100000000000001" customHeight="1" thickTop="1" x14ac:dyDescent="0.2">
      <c r="A18" s="48"/>
      <c r="C18" s="197"/>
      <c r="D18" s="116"/>
      <c r="E18" s="198"/>
      <c r="F18" s="198"/>
      <c r="I18" s="197"/>
      <c r="K18" s="198"/>
      <c r="L18" s="198"/>
      <c r="O18" s="197"/>
      <c r="P18" s="116"/>
      <c r="Q18" s="198"/>
      <c r="R18" s="198"/>
    </row>
    <row r="19" spans="1:18" s="173" customFormat="1" ht="20.100000000000001" customHeight="1" x14ac:dyDescent="0.2">
      <c r="A19" s="48"/>
      <c r="B19" s="200"/>
      <c r="C19" s="201"/>
      <c r="D19" s="202" t="str">
        <f>IF(F19="","",VLOOKUP(F19,KTOPL,2,0))</f>
        <v>Treibstoff Diesel</v>
      </c>
      <c r="E19" s="203" t="s">
        <v>105</v>
      </c>
      <c r="F19" s="204" t="s">
        <v>180</v>
      </c>
      <c r="H19" s="200"/>
      <c r="I19" s="201"/>
      <c r="J19" s="202" t="str">
        <f>IF(L19="","",VLOOKUP(L19,KTOPL,2,0))</f>
        <v/>
      </c>
      <c r="K19" s="203" t="s">
        <v>105</v>
      </c>
      <c r="L19" s="204"/>
      <c r="N19" s="200"/>
      <c r="O19" s="201"/>
      <c r="P19" s="202" t="str">
        <f>IF(R19="","",VLOOKUP(R19,KTOPL,2,0))</f>
        <v/>
      </c>
      <c r="Q19" s="203" t="s">
        <v>105</v>
      </c>
      <c r="R19" s="205"/>
    </row>
    <row r="20" spans="1:18" s="173" customFormat="1" ht="20.100000000000001" customHeight="1" x14ac:dyDescent="0.2">
      <c r="A20" s="48"/>
      <c r="B20" s="206" t="s">
        <v>106</v>
      </c>
      <c r="C20" s="207" t="s">
        <v>107</v>
      </c>
      <c r="D20" s="206" t="s">
        <v>11</v>
      </c>
      <c r="E20" s="208" t="s">
        <v>108</v>
      </c>
      <c r="F20" s="208" t="s">
        <v>109</v>
      </c>
      <c r="H20" s="206" t="s">
        <v>106</v>
      </c>
      <c r="I20" s="207" t="s">
        <v>107</v>
      </c>
      <c r="J20" s="206" t="s">
        <v>11</v>
      </c>
      <c r="K20" s="208" t="s">
        <v>108</v>
      </c>
      <c r="L20" s="208" t="s">
        <v>109</v>
      </c>
      <c r="N20" s="206" t="s">
        <v>106</v>
      </c>
      <c r="O20" s="207" t="s">
        <v>107</v>
      </c>
      <c r="P20" s="206" t="s">
        <v>11</v>
      </c>
      <c r="Q20" s="208" t="s">
        <v>108</v>
      </c>
      <c r="R20" s="208" t="s">
        <v>109</v>
      </c>
    </row>
    <row r="21" spans="1:18" s="173" customFormat="1" ht="20.100000000000001" customHeight="1" x14ac:dyDescent="0.2">
      <c r="A21" s="48"/>
      <c r="B21" s="187" t="str">
        <f>'H-BF'!A20</f>
        <v>B2</v>
      </c>
      <c r="C21" s="188" t="str">
        <f>'H-BF'!B20</f>
        <v>15.02.</v>
      </c>
      <c r="D21" s="137" t="str">
        <f>'H-BF'!C20</f>
        <v>Treibstoffkauf</v>
      </c>
      <c r="E21" s="189">
        <f>'H-BF'!D20</f>
        <v>432.2</v>
      </c>
      <c r="F21" s="190"/>
      <c r="G21" s="209"/>
      <c r="H21" s="187"/>
      <c r="I21" s="188"/>
      <c r="J21" s="137"/>
      <c r="K21" s="189"/>
      <c r="L21" s="190"/>
      <c r="M21" s="209"/>
      <c r="N21" s="187"/>
      <c r="O21" s="188"/>
      <c r="P21" s="137"/>
      <c r="Q21" s="189"/>
      <c r="R21" s="190"/>
    </row>
    <row r="22" spans="1:18" s="173" customFormat="1" ht="20.100000000000001" customHeight="1" x14ac:dyDescent="0.2">
      <c r="A22" s="48"/>
      <c r="B22" s="191" t="str">
        <f>'H-BF'!A42</f>
        <v>AB</v>
      </c>
      <c r="C22" s="192" t="str">
        <f>'H-BF'!B42</f>
        <v>31.12.</v>
      </c>
      <c r="D22" s="191" t="str">
        <f>'H-BF'!C42</f>
        <v>Mehrwert zk. Vorr. (Treibstoff)</v>
      </c>
      <c r="E22" s="193"/>
      <c r="F22" s="193">
        <f>'H-BF'!D42</f>
        <v>260.10000000000002</v>
      </c>
      <c r="G22" s="209"/>
      <c r="H22" s="191"/>
      <c r="I22" s="192"/>
      <c r="J22" s="191"/>
      <c r="K22" s="193"/>
      <c r="L22" s="193"/>
      <c r="M22" s="209"/>
      <c r="N22" s="191"/>
      <c r="O22" s="192"/>
      <c r="P22" s="191"/>
      <c r="Q22" s="193"/>
      <c r="R22" s="193"/>
    </row>
    <row r="23" spans="1:18" s="173" customFormat="1" ht="20.100000000000001" customHeight="1" x14ac:dyDescent="0.2">
      <c r="A23" s="48"/>
      <c r="B23" s="191"/>
      <c r="C23" s="192"/>
      <c r="D23" s="191"/>
      <c r="E23" s="193"/>
      <c r="F23" s="193"/>
      <c r="G23" s="209"/>
      <c r="H23" s="191"/>
      <c r="I23" s="192"/>
      <c r="J23" s="191"/>
      <c r="K23" s="193"/>
      <c r="L23" s="193"/>
      <c r="M23" s="209"/>
      <c r="N23" s="191"/>
      <c r="O23" s="192"/>
      <c r="P23" s="191"/>
      <c r="Q23" s="193"/>
      <c r="R23" s="193"/>
    </row>
    <row r="24" spans="1:18" s="173" customFormat="1" ht="20.100000000000001" customHeight="1" x14ac:dyDescent="0.2">
      <c r="A24" s="48"/>
      <c r="B24" s="194" t="s">
        <v>66</v>
      </c>
      <c r="C24" s="195" t="s">
        <v>67</v>
      </c>
      <c r="D24" s="194" t="s">
        <v>110</v>
      </c>
      <c r="E24" s="196" t="str">
        <f>IF(SUM(E21:E23)&gt;=SUM(F21:F23),"",F25-SUM(E21:E23))</f>
        <v/>
      </c>
      <c r="F24" s="196">
        <f>IF(SUM(F21:F23)&gt;=SUM(E21:E23),"",E25-SUM(F21:F23))</f>
        <v>172.09999999999997</v>
      </c>
      <c r="G24" s="209"/>
      <c r="H24" s="194" t="s">
        <v>66</v>
      </c>
      <c r="I24" s="195" t="s">
        <v>67</v>
      </c>
      <c r="J24" s="194" t="s">
        <v>110</v>
      </c>
      <c r="K24" s="196" t="str">
        <f>IF(SUM(K21:K23)&gt;=SUM(L21:L23),"",L25-SUM(K21:K23))</f>
        <v/>
      </c>
      <c r="L24" s="196" t="str">
        <f>IF(SUM(L21:L23)&gt;=SUM(K21:K23),"",K25-SUM(L21:L23))</f>
        <v/>
      </c>
      <c r="M24" s="209"/>
      <c r="N24" s="194" t="s">
        <v>66</v>
      </c>
      <c r="O24" s="195" t="s">
        <v>67</v>
      </c>
      <c r="P24" s="194" t="s">
        <v>110</v>
      </c>
      <c r="Q24" s="196" t="str">
        <f>IF(SUM(Q21:Q23)&gt;=SUM(R21:R23),"",R25-SUM(Q21:Q23))</f>
        <v/>
      </c>
      <c r="R24" s="196" t="str">
        <f>IF(SUM(R21:R23)&gt;=SUM(Q21:Q23),"",Q25-SUM(R21:R23))</f>
        <v/>
      </c>
    </row>
    <row r="25" spans="1:18" s="173" customFormat="1" ht="20.100000000000001" customHeight="1" thickBot="1" x14ac:dyDescent="0.25">
      <c r="A25" s="48"/>
      <c r="B25" s="139"/>
      <c r="C25" s="140"/>
      <c r="D25" s="141" t="s">
        <v>111</v>
      </c>
      <c r="E25" s="142">
        <f>IF(SUM(E21:E24)=0,"",SUM(E21:E24))</f>
        <v>432.2</v>
      </c>
      <c r="F25" s="142">
        <f>IF(SUM(F21:F24)=0,"",SUM(F21:F24))</f>
        <v>432.2</v>
      </c>
      <c r="H25" s="139"/>
      <c r="I25" s="140"/>
      <c r="J25" s="141" t="s">
        <v>111</v>
      </c>
      <c r="K25" s="142" t="str">
        <f>IF(SUM(K21:K24)=0,"",SUM(K21:K24))</f>
        <v/>
      </c>
      <c r="L25" s="142" t="str">
        <f>IF(SUM(L21:L24)=0,"",SUM(L21:L24))</f>
        <v/>
      </c>
      <c r="N25" s="139"/>
      <c r="O25" s="140"/>
      <c r="P25" s="141" t="s">
        <v>111</v>
      </c>
      <c r="Q25" s="142" t="str">
        <f>IF(SUM(Q21:Q24)=0,"",SUM(Q21:Q24))</f>
        <v/>
      </c>
      <c r="R25" s="142" t="str">
        <f>IF(SUM(R21:R24)=0,"",SUM(R21:R24))</f>
        <v/>
      </c>
    </row>
    <row r="26" spans="1:18" s="173" customFormat="1" ht="20.100000000000001" customHeight="1" thickTop="1" x14ac:dyDescent="0.2">
      <c r="A26" s="48"/>
      <c r="C26" s="197"/>
      <c r="D26" s="116"/>
      <c r="E26" s="198"/>
      <c r="F26" s="198"/>
      <c r="I26" s="197"/>
      <c r="K26" s="198"/>
      <c r="L26" s="198"/>
      <c r="O26" s="197"/>
      <c r="P26" s="116"/>
      <c r="Q26" s="198"/>
      <c r="R26" s="198"/>
    </row>
    <row r="27" spans="1:18" s="173" customFormat="1" ht="20.100000000000001" customHeight="1" x14ac:dyDescent="0.2">
      <c r="A27" s="48"/>
      <c r="B27" s="210"/>
      <c r="C27" s="211"/>
      <c r="D27" s="212" t="str">
        <f>IF(F27="","",VLOOKUP(F27,KTOPL,2,0))</f>
        <v>Abschreibung Sachanlagevermögen</v>
      </c>
      <c r="E27" s="213" t="s">
        <v>105</v>
      </c>
      <c r="F27" s="214" t="s">
        <v>183</v>
      </c>
      <c r="H27" s="210"/>
      <c r="I27" s="211"/>
      <c r="J27" s="212" t="str">
        <f>IF(L27="","",VLOOKUP(L27,KTOPL,2,0))</f>
        <v/>
      </c>
      <c r="K27" s="213" t="s">
        <v>105</v>
      </c>
      <c r="L27" s="214"/>
      <c r="N27" s="179"/>
      <c r="O27" s="180"/>
      <c r="P27" s="181" t="str">
        <f>IF(R27="","",VLOOKUP(R27,KTOPL,2,0))</f>
        <v>Zinsen für Bankkredite</v>
      </c>
      <c r="Q27" s="182" t="s">
        <v>105</v>
      </c>
      <c r="R27" s="199" t="s">
        <v>182</v>
      </c>
    </row>
    <row r="28" spans="1:18" s="173" customFormat="1" ht="20.100000000000001" customHeight="1" x14ac:dyDescent="0.2">
      <c r="A28" s="48"/>
      <c r="B28" s="215" t="s">
        <v>106</v>
      </c>
      <c r="C28" s="216" t="s">
        <v>107</v>
      </c>
      <c r="D28" s="215" t="s">
        <v>11</v>
      </c>
      <c r="E28" s="217" t="s">
        <v>108</v>
      </c>
      <c r="F28" s="217" t="s">
        <v>109</v>
      </c>
      <c r="H28" s="215" t="s">
        <v>106</v>
      </c>
      <c r="I28" s="216" t="s">
        <v>107</v>
      </c>
      <c r="J28" s="215" t="s">
        <v>11</v>
      </c>
      <c r="K28" s="217" t="s">
        <v>108</v>
      </c>
      <c r="L28" s="217" t="s">
        <v>109</v>
      </c>
      <c r="N28" s="215" t="s">
        <v>106</v>
      </c>
      <c r="O28" s="216" t="s">
        <v>107</v>
      </c>
      <c r="P28" s="215" t="s">
        <v>11</v>
      </c>
      <c r="Q28" s="217" t="s">
        <v>108</v>
      </c>
      <c r="R28" s="217" t="s">
        <v>109</v>
      </c>
    </row>
    <row r="29" spans="1:18" s="173" customFormat="1" ht="20.100000000000001" customHeight="1" x14ac:dyDescent="0.2">
      <c r="A29" s="48"/>
      <c r="B29" s="191" t="str">
        <f>'H-BF'!A37</f>
        <v>AB</v>
      </c>
      <c r="C29" s="192" t="str">
        <f>'H-BF'!B37</f>
        <v>31.12.</v>
      </c>
      <c r="D29" s="191" t="str">
        <f>'H-BF'!C37</f>
        <v>Afa Gebäude</v>
      </c>
      <c r="E29" s="193">
        <f>'H-BF'!D37</f>
        <v>4268.6000000000004</v>
      </c>
      <c r="F29" s="193"/>
      <c r="G29" s="209"/>
      <c r="H29" s="191"/>
      <c r="I29" s="192"/>
      <c r="J29" s="191"/>
      <c r="K29" s="193"/>
      <c r="L29" s="193"/>
      <c r="M29" s="209"/>
      <c r="N29" s="187" t="str">
        <f>'H-BF'!A28</f>
        <v>B6</v>
      </c>
      <c r="O29" s="188" t="str">
        <f>'H-BF'!B28</f>
        <v>08.09.</v>
      </c>
      <c r="P29" s="137" t="str">
        <f>'H-BF'!C28</f>
        <v>Darl.: Zinsen</v>
      </c>
      <c r="Q29" s="189">
        <f>'H-BF'!D28</f>
        <v>558.1</v>
      </c>
      <c r="R29" s="190"/>
    </row>
    <row r="30" spans="1:18" s="173" customFormat="1" ht="20.100000000000001" customHeight="1" x14ac:dyDescent="0.2">
      <c r="A30" s="48"/>
      <c r="B30" s="191" t="str">
        <f>'H-BF'!A38</f>
        <v>AB</v>
      </c>
      <c r="C30" s="357" t="str">
        <f>'H-BF'!B38</f>
        <v>31.12.</v>
      </c>
      <c r="D30" s="191" t="str">
        <f>'H-BF'!C38</f>
        <v>Afa Maschinen</v>
      </c>
      <c r="E30" s="193">
        <f>'H-BF'!D38</f>
        <v>3423.7</v>
      </c>
      <c r="F30" s="193"/>
      <c r="G30" s="209"/>
      <c r="H30" s="191"/>
      <c r="I30" s="192"/>
      <c r="J30" s="191"/>
      <c r="K30" s="193"/>
      <c r="L30" s="193"/>
      <c r="M30" s="209"/>
      <c r="N30" s="191"/>
      <c r="O30" s="192"/>
      <c r="P30" s="191"/>
      <c r="Q30" s="193"/>
      <c r="R30" s="193"/>
    </row>
    <row r="31" spans="1:18" s="173" customFormat="1" ht="20.100000000000001" customHeight="1" x14ac:dyDescent="0.2">
      <c r="A31" s="48"/>
      <c r="B31" s="191"/>
      <c r="C31" s="192"/>
      <c r="D31" s="191"/>
      <c r="E31" s="193"/>
      <c r="F31" s="193"/>
      <c r="G31" s="209"/>
      <c r="H31" s="191"/>
      <c r="I31" s="192"/>
      <c r="J31" s="191"/>
      <c r="K31" s="193"/>
      <c r="L31" s="193"/>
      <c r="M31" s="209"/>
      <c r="N31" s="191"/>
      <c r="O31" s="192"/>
      <c r="P31" s="191"/>
      <c r="Q31" s="193"/>
      <c r="R31" s="193"/>
    </row>
    <row r="32" spans="1:18" s="173" customFormat="1" ht="20.100000000000001" customHeight="1" x14ac:dyDescent="0.2">
      <c r="A32" s="48"/>
      <c r="B32" s="194" t="s">
        <v>66</v>
      </c>
      <c r="C32" s="195" t="s">
        <v>67</v>
      </c>
      <c r="D32" s="194" t="s">
        <v>110</v>
      </c>
      <c r="E32" s="196" t="str">
        <f>IF(SUM(E29:E31)&gt;=SUM(F29:F31),"",F33-SUM(E29:E31))</f>
        <v/>
      </c>
      <c r="F32" s="196">
        <f>IF(SUM(F29:F31)&gt;=SUM(E29:E31),"",E33-SUM(F29:F31))</f>
        <v>7692.3</v>
      </c>
      <c r="G32" s="209"/>
      <c r="H32" s="194" t="s">
        <v>66</v>
      </c>
      <c r="I32" s="195" t="s">
        <v>67</v>
      </c>
      <c r="J32" s="194" t="s">
        <v>110</v>
      </c>
      <c r="K32" s="196" t="str">
        <f>IF(SUM(K29:K31)&gt;=SUM(L29:L31),"",L33-SUM(K29:K31))</f>
        <v/>
      </c>
      <c r="L32" s="196" t="str">
        <f>IF(SUM(L29:L31)&gt;=SUM(K29:K31),"",K33-SUM(L29:L31))</f>
        <v/>
      </c>
      <c r="M32" s="209"/>
      <c r="N32" s="194" t="s">
        <v>66</v>
      </c>
      <c r="O32" s="195" t="s">
        <v>67</v>
      </c>
      <c r="P32" s="194" t="s">
        <v>110</v>
      </c>
      <c r="Q32" s="196" t="str">
        <f>IF(SUM(Q29:Q31)&gt;=SUM(R29:R31),"",R33-SUM(Q29:Q31))</f>
        <v/>
      </c>
      <c r="R32" s="196">
        <f>IF(SUM(R29:R31)&gt;=SUM(Q29:Q31),"",Q33-SUM(R29:R31))</f>
        <v>558.1</v>
      </c>
    </row>
    <row r="33" spans="1:18" s="173" customFormat="1" ht="20.100000000000001" customHeight="1" thickBot="1" x14ac:dyDescent="0.25">
      <c r="A33" s="48"/>
      <c r="B33" s="139"/>
      <c r="C33" s="140"/>
      <c r="D33" s="141" t="s">
        <v>111</v>
      </c>
      <c r="E33" s="142">
        <f>IF(SUM(E29:E32)=0,"",SUM(E29:E32))</f>
        <v>7692.3</v>
      </c>
      <c r="F33" s="142">
        <f>IF(SUM(F29:F32)=0,"",SUM(F29:F32))</f>
        <v>7692.3</v>
      </c>
      <c r="H33" s="139"/>
      <c r="I33" s="140"/>
      <c r="J33" s="141" t="s">
        <v>111</v>
      </c>
      <c r="K33" s="142" t="str">
        <f>IF(SUM(K29:K32)=0,"",SUM(K29:K32))</f>
        <v/>
      </c>
      <c r="L33" s="142" t="str">
        <f>IF(SUM(L29:L32)=0,"",SUM(L29:L32))</f>
        <v/>
      </c>
      <c r="N33" s="139"/>
      <c r="O33" s="140"/>
      <c r="P33" s="141" t="s">
        <v>111</v>
      </c>
      <c r="Q33" s="142">
        <f>IF(SUM(Q29:Q32)=0,"",SUM(Q29:Q32))</f>
        <v>558.1</v>
      </c>
      <c r="R33" s="142">
        <f>IF(SUM(R29:R32)=0,"",SUM(R29:R32))</f>
        <v>558.1</v>
      </c>
    </row>
    <row r="34" spans="1:18" s="173" customFormat="1" ht="12.75" customHeight="1" thickTop="1" x14ac:dyDescent="0.2">
      <c r="A34" s="48"/>
      <c r="C34" s="197"/>
      <c r="D34" s="116"/>
      <c r="E34" s="198"/>
      <c r="F34" s="198"/>
      <c r="I34" s="197"/>
      <c r="K34" s="198"/>
      <c r="L34" s="198"/>
      <c r="O34" s="197"/>
      <c r="P34" s="116"/>
      <c r="Q34" s="198"/>
      <c r="R34" s="198"/>
    </row>
    <row r="35" spans="1:18" s="173" customFormat="1" ht="12.75" hidden="1" customHeight="1" x14ac:dyDescent="0.2">
      <c r="A35" s="48"/>
      <c r="C35" s="197"/>
      <c r="D35" s="116"/>
      <c r="E35" s="198"/>
      <c r="F35" s="198"/>
      <c r="I35" s="197"/>
      <c r="K35" s="198"/>
      <c r="L35" s="198"/>
      <c r="O35" s="197"/>
      <c r="P35" s="116"/>
      <c r="Q35" s="198"/>
      <c r="R35" s="198"/>
    </row>
    <row r="36" spans="1:18" s="173" customFormat="1" ht="12.75" hidden="1" customHeight="1" x14ac:dyDescent="0.2">
      <c r="A36" s="48"/>
      <c r="C36" s="197"/>
      <c r="D36" s="116"/>
      <c r="E36" s="198"/>
      <c r="F36" s="198"/>
      <c r="I36" s="197"/>
      <c r="K36" s="198"/>
      <c r="L36" s="198"/>
      <c r="O36" s="197"/>
      <c r="P36" s="116"/>
      <c r="Q36" s="198"/>
      <c r="R36" s="198"/>
    </row>
    <row r="37" spans="1:18" s="173" customFormat="1" ht="12.75" hidden="1" customHeight="1" x14ac:dyDescent="0.2">
      <c r="A37" s="48"/>
      <c r="C37" s="197"/>
      <c r="D37" s="116"/>
      <c r="E37" s="198"/>
      <c r="F37" s="198"/>
      <c r="I37" s="197"/>
      <c r="K37" s="198"/>
      <c r="L37" s="198"/>
      <c r="O37" s="197"/>
      <c r="P37" s="116"/>
      <c r="Q37" s="198"/>
      <c r="R37" s="198"/>
    </row>
    <row r="38" spans="1:18" s="173" customFormat="1" ht="12.75" hidden="1" customHeight="1" x14ac:dyDescent="0.2">
      <c r="A38" s="48"/>
      <c r="C38" s="197"/>
      <c r="D38" s="116"/>
      <c r="E38" s="198"/>
      <c r="F38" s="198"/>
      <c r="I38" s="197"/>
      <c r="K38" s="198"/>
      <c r="L38" s="198"/>
      <c r="O38" s="197"/>
      <c r="P38" s="116"/>
      <c r="Q38" s="198"/>
      <c r="R38" s="198"/>
    </row>
    <row r="39" spans="1:18" s="173" customFormat="1" ht="12.75" hidden="1" customHeight="1" x14ac:dyDescent="0.2">
      <c r="A39" s="48"/>
      <c r="C39" s="197"/>
      <c r="D39" s="116"/>
      <c r="E39" s="198"/>
      <c r="F39" s="198"/>
      <c r="I39" s="197"/>
      <c r="K39" s="198"/>
      <c r="L39" s="198"/>
      <c r="O39" s="197"/>
      <c r="P39" s="116"/>
      <c r="Q39" s="198"/>
      <c r="R39" s="198"/>
    </row>
    <row r="40" spans="1:18" s="173" customFormat="1" ht="12.75" hidden="1" customHeight="1" thickBot="1" x14ac:dyDescent="0.25">
      <c r="A40" s="48"/>
      <c r="B40" s="162" t="s">
        <v>122</v>
      </c>
      <c r="C40" s="163"/>
      <c r="D40" s="164"/>
      <c r="E40" s="165"/>
      <c r="F40" s="165"/>
      <c r="G40" s="163"/>
      <c r="H40" s="163"/>
      <c r="I40" s="166"/>
      <c r="J40" s="163"/>
      <c r="K40" s="163"/>
      <c r="L40" s="198"/>
      <c r="O40" s="197"/>
      <c r="P40" s="116"/>
      <c r="Q40" s="198"/>
      <c r="R40" s="198"/>
    </row>
    <row r="41" spans="1:18" s="173" customFormat="1" ht="12.75" hidden="1" customHeight="1" x14ac:dyDescent="0.2">
      <c r="A41" s="48"/>
      <c r="B41" s="167">
        <v>1</v>
      </c>
      <c r="C41" s="46" t="str">
        <f>IF(D41="","",MID(D41,1,FIND(": ",D41,1)-1)&amp;K41)</f>
        <v xml:space="preserve"> 41400Zucht</v>
      </c>
      <c r="D41" s="46" t="str">
        <f t="shared" ref="D41:D53" si="0">IF(OR($F$3="",AND(E5="",F5="")),"",CONCATENATE($F$3,": ",IF(D5="","",D5&amp;", "),IF(E5="","xxxx",TEXT(E5,"# ##0,-")),", ",IF(F5="","xxxx",TEXT(F5,"# ##0,-"))))</f>
        <v xml:space="preserve"> 41400: Zuchtschafverkauf, xxxx, 674,-</v>
      </c>
      <c r="E41" s="168"/>
      <c r="F41" s="168"/>
      <c r="G41" s="46"/>
      <c r="H41" s="46"/>
      <c r="I41" s="169"/>
      <c r="J41" s="46"/>
      <c r="K41" s="46" t="str">
        <f t="shared" ref="K41:K53" si="1">IF(D5="","",MID(D5,1,5))</f>
        <v>Zucht</v>
      </c>
      <c r="L41" s="198"/>
      <c r="O41" s="197"/>
      <c r="P41" s="116"/>
      <c r="Q41" s="198"/>
      <c r="R41" s="198"/>
    </row>
    <row r="42" spans="1:18" s="173" customFormat="1" ht="12.75" hidden="1" customHeight="1" x14ac:dyDescent="0.2">
      <c r="A42" s="48"/>
      <c r="B42" s="170">
        <v>2</v>
      </c>
      <c r="C42" s="46" t="str">
        <f t="shared" ref="C42:C103" si="2">IF(D42="","",MID(D42,1,FIND(": ",D42,1)-1)&amp;K42)</f>
        <v xml:space="preserve"> 41400Milch</v>
      </c>
      <c r="D42" s="46" t="str">
        <f t="shared" si="0"/>
        <v xml:space="preserve"> 41400: Milchgeld (Schafmilch, Sammelbeleg), xxxx, 3 535,-</v>
      </c>
      <c r="E42" s="171"/>
      <c r="F42" s="171"/>
      <c r="G42" s="47"/>
      <c r="H42" s="47"/>
      <c r="I42" s="172"/>
      <c r="J42" s="47"/>
      <c r="K42" s="46" t="str">
        <f t="shared" si="1"/>
        <v>Milch</v>
      </c>
      <c r="L42" s="198"/>
      <c r="O42" s="197"/>
      <c r="P42" s="116"/>
      <c r="Q42" s="198"/>
      <c r="R42" s="198"/>
    </row>
    <row r="43" spans="1:18" s="173" customFormat="1" ht="12.75" hidden="1" customHeight="1" x14ac:dyDescent="0.2">
      <c r="A43" s="48"/>
      <c r="B43" s="170">
        <v>3</v>
      </c>
      <c r="C43" s="46" t="str">
        <f t="shared" si="2"/>
        <v xml:space="preserve"> 41400Eigen</v>
      </c>
      <c r="D43" s="46" t="str">
        <f t="shared" si="0"/>
        <v xml:space="preserve"> 41400: Eigenverbrauch Schafmilchprodukte, xxxx, 1 499,-</v>
      </c>
      <c r="E43" s="171"/>
      <c r="F43" s="171"/>
      <c r="G43" s="47"/>
      <c r="H43" s="47"/>
      <c r="I43" s="172"/>
      <c r="J43" s="47"/>
      <c r="K43" s="46" t="str">
        <f t="shared" si="1"/>
        <v>Eigen</v>
      </c>
      <c r="L43" s="198"/>
      <c r="O43" s="197"/>
      <c r="P43" s="116"/>
      <c r="Q43" s="198"/>
      <c r="R43" s="198"/>
    </row>
    <row r="44" spans="1:18" s="173" customFormat="1" ht="12.75" hidden="1" customHeight="1" x14ac:dyDescent="0.2">
      <c r="A44" s="48"/>
      <c r="B44" s="170">
        <v>4</v>
      </c>
      <c r="C44" s="46" t="str">
        <f t="shared" si="2"/>
        <v xml:space="preserve"> 41400Mehrw</v>
      </c>
      <c r="D44" s="46" t="str">
        <f t="shared" si="0"/>
        <v xml:space="preserve"> 41400: Mehrwert Schafe, xxxx, 503,-</v>
      </c>
      <c r="E44" s="171"/>
      <c r="F44" s="171"/>
      <c r="G44" s="47"/>
      <c r="H44" s="47"/>
      <c r="I44" s="172"/>
      <c r="J44" s="47"/>
      <c r="K44" s="46" t="str">
        <f t="shared" si="1"/>
        <v>Mehrw</v>
      </c>
      <c r="L44" s="198"/>
      <c r="O44" s="197"/>
      <c r="P44" s="116"/>
      <c r="Q44" s="198"/>
      <c r="R44" s="198"/>
    </row>
    <row r="45" spans="1:18" s="173" customFormat="1" ht="12.75" hidden="1" customHeight="1" x14ac:dyDescent="0.2">
      <c r="A45" s="48"/>
      <c r="B45" s="170">
        <v>5</v>
      </c>
      <c r="C45" s="46" t="str">
        <f t="shared" si="2"/>
        <v xml:space="preserve"> 41400Minde</v>
      </c>
      <c r="D45" s="46" t="str">
        <f t="shared" si="0"/>
        <v xml:space="preserve"> 41400: Minderwert se. Vorr. (Schafskäse), 1 042,-, xxxx</v>
      </c>
      <c r="E45" s="171"/>
      <c r="F45" s="171"/>
      <c r="G45" s="47"/>
      <c r="H45" s="47"/>
      <c r="I45" s="172"/>
      <c r="J45" s="47"/>
      <c r="K45" s="46" t="str">
        <f t="shared" si="1"/>
        <v>Minde</v>
      </c>
      <c r="L45" s="198"/>
      <c r="O45" s="197"/>
      <c r="P45" s="116"/>
      <c r="Q45" s="198"/>
      <c r="R45" s="198"/>
    </row>
    <row r="46" spans="1:18" s="173" customFormat="1" ht="12.75" hidden="1" customHeight="1" x14ac:dyDescent="0.2">
      <c r="A46" s="48"/>
      <c r="B46" s="170">
        <v>6</v>
      </c>
      <c r="C46" s="46" t="str">
        <f t="shared" si="2"/>
        <v/>
      </c>
      <c r="D46" s="46" t="str">
        <f t="shared" si="0"/>
        <v/>
      </c>
      <c r="E46" s="171"/>
      <c r="F46" s="171"/>
      <c r="G46" s="47"/>
      <c r="H46" s="47"/>
      <c r="I46" s="172"/>
      <c r="J46" s="47"/>
      <c r="K46" s="46" t="str">
        <f t="shared" si="1"/>
        <v/>
      </c>
      <c r="L46" s="198"/>
      <c r="O46" s="197"/>
      <c r="P46" s="116"/>
      <c r="Q46" s="198"/>
      <c r="R46" s="198"/>
    </row>
    <row r="47" spans="1:18" s="173" customFormat="1" ht="12.75" hidden="1" customHeight="1" x14ac:dyDescent="0.2">
      <c r="A47" s="48"/>
      <c r="B47" s="170">
        <v>7</v>
      </c>
      <c r="C47" s="46" t="str">
        <f t="shared" si="2"/>
        <v/>
      </c>
      <c r="D47" s="46" t="str">
        <f t="shared" si="0"/>
        <v/>
      </c>
      <c r="E47" s="171"/>
      <c r="F47" s="171"/>
      <c r="G47" s="47"/>
      <c r="H47" s="47"/>
      <c r="I47" s="172"/>
      <c r="J47" s="47"/>
      <c r="K47" s="46" t="str">
        <f t="shared" si="1"/>
        <v/>
      </c>
      <c r="L47" s="198"/>
      <c r="O47" s="197"/>
      <c r="P47" s="116"/>
      <c r="Q47" s="198"/>
      <c r="R47" s="198"/>
    </row>
    <row r="48" spans="1:18" s="173" customFormat="1" ht="12.75" hidden="1" customHeight="1" x14ac:dyDescent="0.2">
      <c r="A48" s="48"/>
      <c r="B48" s="170">
        <v>8</v>
      </c>
      <c r="C48" s="46" t="str">
        <f t="shared" si="2"/>
        <v/>
      </c>
      <c r="D48" s="46" t="str">
        <f t="shared" si="0"/>
        <v/>
      </c>
      <c r="E48" s="171"/>
      <c r="F48" s="171"/>
      <c r="G48" s="47"/>
      <c r="H48" s="47"/>
      <c r="I48" s="172"/>
      <c r="J48" s="47"/>
      <c r="K48" s="46" t="str">
        <f t="shared" si="1"/>
        <v/>
      </c>
      <c r="L48" s="198"/>
      <c r="O48" s="197"/>
      <c r="P48" s="116"/>
      <c r="Q48" s="198"/>
      <c r="R48" s="198"/>
    </row>
    <row r="49" spans="1:18" s="173" customFormat="1" ht="12.75" hidden="1" customHeight="1" x14ac:dyDescent="0.2">
      <c r="A49" s="48"/>
      <c r="B49" s="170">
        <v>9</v>
      </c>
      <c r="C49" s="46" t="str">
        <f t="shared" si="2"/>
        <v/>
      </c>
      <c r="D49" s="46" t="str">
        <f t="shared" si="0"/>
        <v/>
      </c>
      <c r="E49" s="171"/>
      <c r="F49" s="171"/>
      <c r="G49" s="47"/>
      <c r="H49" s="47"/>
      <c r="I49" s="172"/>
      <c r="J49" s="47"/>
      <c r="K49" s="46" t="str">
        <f t="shared" si="1"/>
        <v/>
      </c>
      <c r="L49" s="198"/>
      <c r="O49" s="197"/>
      <c r="P49" s="116"/>
      <c r="Q49" s="198"/>
      <c r="R49" s="198"/>
    </row>
    <row r="50" spans="1:18" s="173" customFormat="1" ht="12.75" hidden="1" customHeight="1" x14ac:dyDescent="0.2">
      <c r="A50" s="48"/>
      <c r="B50" s="170">
        <v>10</v>
      </c>
      <c r="C50" s="46" t="str">
        <f t="shared" si="2"/>
        <v/>
      </c>
      <c r="D50" s="46" t="str">
        <f t="shared" si="0"/>
        <v/>
      </c>
      <c r="E50" s="171"/>
      <c r="F50" s="171"/>
      <c r="G50" s="47"/>
      <c r="H50" s="47"/>
      <c r="I50" s="172"/>
      <c r="J50" s="47"/>
      <c r="K50" s="46" t="str">
        <f t="shared" si="1"/>
        <v/>
      </c>
      <c r="L50" s="198"/>
      <c r="O50" s="197"/>
      <c r="P50" s="116"/>
      <c r="Q50" s="198"/>
      <c r="R50" s="198"/>
    </row>
    <row r="51" spans="1:18" s="173" customFormat="1" ht="12.75" hidden="1" customHeight="1" x14ac:dyDescent="0.2">
      <c r="A51" s="48"/>
      <c r="B51" s="170">
        <v>11</v>
      </c>
      <c r="C51" s="46" t="str">
        <f t="shared" si="2"/>
        <v/>
      </c>
      <c r="D51" s="46" t="str">
        <f t="shared" si="0"/>
        <v/>
      </c>
      <c r="E51" s="171"/>
      <c r="F51" s="171"/>
      <c r="G51" s="47"/>
      <c r="H51" s="47"/>
      <c r="I51" s="172"/>
      <c r="J51" s="47"/>
      <c r="K51" s="46" t="str">
        <f t="shared" si="1"/>
        <v/>
      </c>
      <c r="L51" s="198"/>
      <c r="O51" s="197"/>
      <c r="P51" s="116"/>
      <c r="Q51" s="198"/>
      <c r="R51" s="198"/>
    </row>
    <row r="52" spans="1:18" s="173" customFormat="1" ht="12.75" hidden="1" customHeight="1" x14ac:dyDescent="0.2">
      <c r="A52" s="48"/>
      <c r="B52" s="170">
        <v>12</v>
      </c>
      <c r="C52" s="46" t="str">
        <f t="shared" si="2"/>
        <v xml:space="preserve"> 41400SALDO</v>
      </c>
      <c r="D52" s="46" t="str">
        <f t="shared" si="0"/>
        <v xml:space="preserve"> 41400: SALDO, 5 169,-, xxxx</v>
      </c>
      <c r="E52" s="171"/>
      <c r="F52" s="171"/>
      <c r="G52" s="47"/>
      <c r="H52" s="47"/>
      <c r="I52" s="172"/>
      <c r="J52" s="47"/>
      <c r="K52" s="46" t="str">
        <f t="shared" si="1"/>
        <v>SALDO</v>
      </c>
      <c r="L52" s="198"/>
      <c r="O52" s="197"/>
      <c r="P52" s="116"/>
      <c r="Q52" s="198"/>
      <c r="R52" s="198"/>
    </row>
    <row r="53" spans="1:18" s="173" customFormat="1" ht="12.75" hidden="1" customHeight="1" x14ac:dyDescent="0.2">
      <c r="A53" s="48"/>
      <c r="B53" s="170">
        <v>13</v>
      </c>
      <c r="C53" s="46" t="str">
        <f t="shared" si="2"/>
        <v xml:space="preserve"> 41400Summe</v>
      </c>
      <c r="D53" s="46" t="str">
        <f t="shared" si="0"/>
        <v xml:space="preserve"> 41400: Summe, 6 211,-, 6 211,-</v>
      </c>
      <c r="E53" s="171"/>
      <c r="F53" s="171"/>
      <c r="G53" s="47"/>
      <c r="H53" s="47"/>
      <c r="I53" s="172"/>
      <c r="J53" s="47"/>
      <c r="K53" s="46" t="str">
        <f t="shared" si="1"/>
        <v>Summe</v>
      </c>
      <c r="L53" s="198"/>
      <c r="O53" s="197"/>
      <c r="P53" s="116"/>
      <c r="Q53" s="198"/>
      <c r="R53" s="198"/>
    </row>
    <row r="54" spans="1:18" s="173" customFormat="1" ht="12.75" hidden="1" customHeight="1" x14ac:dyDescent="0.2">
      <c r="A54" s="48"/>
      <c r="B54" s="170">
        <v>14</v>
      </c>
      <c r="C54" s="46" t="str">
        <f t="shared" si="2"/>
        <v/>
      </c>
      <c r="D54" s="47" t="str">
        <f>IF(OR($L$3="",AND(K5="",L5="")),"",CONCATENATE($L$3,": ",IF(J5="","",J5&amp;", "),IF(K5="","xxxx",TEXT(K5,"# ##0,-")),", ",IF(L5="","xxxx",TEXT(L5,"# ##0,-"))))</f>
        <v/>
      </c>
      <c r="E54" s="171"/>
      <c r="F54" s="171"/>
      <c r="G54" s="47"/>
      <c r="H54" s="47"/>
      <c r="I54" s="172"/>
      <c r="J54" s="47"/>
      <c r="K54" s="46" t="str">
        <f>IF(J5="","",MID(J5,1,5))</f>
        <v/>
      </c>
      <c r="L54" s="198"/>
      <c r="O54" s="197"/>
      <c r="P54" s="116"/>
      <c r="Q54" s="198"/>
      <c r="R54" s="198"/>
    </row>
    <row r="55" spans="1:18" s="173" customFormat="1" ht="12.75" hidden="1" customHeight="1" x14ac:dyDescent="0.2">
      <c r="A55" s="48"/>
      <c r="B55" s="170">
        <v>15</v>
      </c>
      <c r="C55" s="46" t="str">
        <f t="shared" si="2"/>
        <v/>
      </c>
      <c r="D55" s="47" t="str">
        <f>IF(OR($L$3="",AND(K6="",L6="")),"",CONCATENATE($L$3,": ",IF(J6="","",J6&amp;", "),IF(K6="","xxxx",TEXT(K6,"# ##0,-")),", ",IF(L6="","xxxx",TEXT(L6,"# ##0,-"))))</f>
        <v/>
      </c>
      <c r="E55" s="171"/>
      <c r="F55" s="171"/>
      <c r="G55" s="47"/>
      <c r="H55" s="47"/>
      <c r="I55" s="172"/>
      <c r="J55" s="47"/>
      <c r="K55" s="46" t="str">
        <f>IF(J6="","",MID(J6,1,5))</f>
        <v/>
      </c>
      <c r="L55" s="198"/>
      <c r="O55" s="197"/>
      <c r="P55" s="116"/>
      <c r="Q55" s="198"/>
      <c r="R55" s="198"/>
    </row>
    <row r="56" spans="1:18" s="173" customFormat="1" ht="12.75" hidden="1" customHeight="1" x14ac:dyDescent="0.2">
      <c r="A56" s="48"/>
      <c r="B56" s="170">
        <v>16</v>
      </c>
      <c r="C56" s="46" t="str">
        <f t="shared" si="2"/>
        <v/>
      </c>
      <c r="D56" s="47" t="str">
        <f>IF(OR($L$3="",AND(K7="",L7="")),"",CONCATENATE($L$3,": ",IF(J7="","",J7&amp;", "),IF(K7="","xxxx",TEXT(K7,"# ##0,-")),", ",IF(L7="","xxxx",TEXT(L7,"# ##0,-"))))</f>
        <v/>
      </c>
      <c r="E56" s="171"/>
      <c r="F56" s="171"/>
      <c r="G56" s="47"/>
      <c r="H56" s="47"/>
      <c r="I56" s="172"/>
      <c r="J56" s="47"/>
      <c r="K56" s="46" t="str">
        <f>IF(J7="","",MID(J7,1,5))</f>
        <v/>
      </c>
      <c r="L56" s="198"/>
      <c r="O56" s="197"/>
      <c r="P56" s="116"/>
      <c r="Q56" s="198"/>
      <c r="R56" s="198"/>
    </row>
    <row r="57" spans="1:18" s="173" customFormat="1" ht="12.75" hidden="1" customHeight="1" x14ac:dyDescent="0.2">
      <c r="A57" s="48"/>
      <c r="B57" s="170">
        <v>17</v>
      </c>
      <c r="C57" s="46" t="str">
        <f t="shared" si="2"/>
        <v/>
      </c>
      <c r="D57" s="47" t="str">
        <f>IF(OR($L$3="",AND(K8="",L8="")),"",CONCATENATE($L$3,": ",IF(J8="","",J8&amp;", "),IF(K8="","xxxx",TEXT(K8,"# ##0,-")),", ",IF(L8="","xxxx",TEXT(L8,"# ##0,-"))))</f>
        <v/>
      </c>
      <c r="E57" s="171"/>
      <c r="F57" s="171"/>
      <c r="G57" s="47"/>
      <c r="H57" s="47"/>
      <c r="I57" s="172"/>
      <c r="J57" s="47"/>
      <c r="K57" s="46" t="str">
        <f>IF(J8="","",MID(J8,1,5))</f>
        <v>SALDO</v>
      </c>
      <c r="L57" s="198"/>
      <c r="O57" s="197"/>
      <c r="P57" s="116"/>
      <c r="Q57" s="198"/>
      <c r="R57" s="198"/>
    </row>
    <row r="58" spans="1:18" s="173" customFormat="1" ht="12.75" hidden="1" customHeight="1" x14ac:dyDescent="0.2">
      <c r="A58" s="48"/>
      <c r="B58" s="170">
        <v>18</v>
      </c>
      <c r="C58" s="46" t="str">
        <f t="shared" si="2"/>
        <v/>
      </c>
      <c r="D58" s="47" t="str">
        <f>IF(OR($L$3="",AND(K9="",L9="")),"",CONCATENATE($L$3,": ",IF(J9="","",J9&amp;", "),IF(K9="","xxxx",TEXT(K9,"# ##0,-")),", ",IF(L9="","xxxx",TEXT(L9,"# ##0,-"))))</f>
        <v/>
      </c>
      <c r="E58" s="171"/>
      <c r="F58" s="171"/>
      <c r="G58" s="47"/>
      <c r="H58" s="47"/>
      <c r="I58" s="172"/>
      <c r="J58" s="47"/>
      <c r="K58" s="46" t="str">
        <f>IF(J9="","",MID(J9,1,5))</f>
        <v>Summe</v>
      </c>
      <c r="L58" s="198"/>
      <c r="O58" s="197"/>
      <c r="P58" s="116"/>
      <c r="Q58" s="198"/>
      <c r="R58" s="198"/>
    </row>
    <row r="59" spans="1:18" s="173" customFormat="1" ht="12.75" hidden="1" customHeight="1" x14ac:dyDescent="0.2">
      <c r="A59" s="48"/>
      <c r="B59" s="170">
        <v>19</v>
      </c>
      <c r="C59" s="46" t="str">
        <f t="shared" si="2"/>
        <v/>
      </c>
      <c r="D59" s="47" t="str">
        <f>IF(OR($R$3="",AND(Q5="",R5="")),"",CONCATENATE($R$3,": ",IF(N5="","",N5&amp;", "),IF(O5="","",O5&amp;", "),IF(P5="","",P5&amp;", "),IF(Q5="","xxxx",TEXT(Q5,"# ##0,-")),", ",IF(R5="","xxxx",TEXT(R5,"# ##0,-"))))</f>
        <v/>
      </c>
      <c r="E59" s="171"/>
      <c r="F59" s="171"/>
      <c r="G59" s="47"/>
      <c r="H59" s="47"/>
      <c r="I59" s="172"/>
      <c r="J59" s="47"/>
      <c r="K59" s="46" t="str">
        <f>IF(P5="","",MID(P5,1,5))</f>
        <v/>
      </c>
      <c r="L59" s="198"/>
      <c r="O59" s="197"/>
      <c r="P59" s="116"/>
      <c r="Q59" s="198"/>
      <c r="R59" s="198"/>
    </row>
    <row r="60" spans="1:18" s="173" customFormat="1" ht="12.75" hidden="1" customHeight="1" x14ac:dyDescent="0.2">
      <c r="A60" s="48"/>
      <c r="B60" s="170">
        <v>20</v>
      </c>
      <c r="C60" s="46" t="str">
        <f t="shared" si="2"/>
        <v/>
      </c>
      <c r="D60" s="47" t="str">
        <f>IF(OR($R$3="",AND(Q6="",R6="")),"",CONCATENATE($R$3,": ",IF(N6="","",N6&amp;", "),IF(O6="","",O6&amp;", "),IF(P6="","",P6&amp;", "),IF(Q6="","xxxx",TEXT(Q6,"# ##0,-")),", ",IF(R6="","xxxx",TEXT(R6,"# ##0,-"))))</f>
        <v/>
      </c>
      <c r="E60" s="171"/>
      <c r="F60" s="171"/>
      <c r="G60" s="47"/>
      <c r="H60" s="47"/>
      <c r="I60" s="172"/>
      <c r="J60" s="47"/>
      <c r="K60" s="46" t="str">
        <f>IF(P6="","",MID(P6,1,5))</f>
        <v/>
      </c>
      <c r="L60" s="198"/>
      <c r="O60" s="197"/>
      <c r="P60" s="116"/>
      <c r="Q60" s="198"/>
      <c r="R60" s="198"/>
    </row>
    <row r="61" spans="1:18" s="173" customFormat="1" ht="12.75" hidden="1" customHeight="1" x14ac:dyDescent="0.2">
      <c r="A61" s="48"/>
      <c r="B61" s="170">
        <v>21</v>
      </c>
      <c r="C61" s="46" t="str">
        <f t="shared" si="2"/>
        <v/>
      </c>
      <c r="D61" s="47" t="str">
        <f>IF(OR($R$3="",AND(Q7="",R7="")),"",CONCATENATE($R$3,": ",IF(N7="","",N7&amp;", "),IF(O7="","",O7&amp;", "),IF(P7="","",P7&amp;", "),IF(Q7="","xxxx",TEXT(Q7,"# ##0,-")),", ",IF(R7="","xxxx",TEXT(R7,"# ##0,-"))))</f>
        <v/>
      </c>
      <c r="E61" s="171"/>
      <c r="F61" s="171"/>
      <c r="G61" s="47"/>
      <c r="H61" s="47"/>
      <c r="I61" s="172"/>
      <c r="J61" s="47"/>
      <c r="K61" s="46" t="str">
        <f>IF(P7="","",MID(P7,1,5))</f>
        <v/>
      </c>
      <c r="L61" s="198"/>
      <c r="O61" s="197"/>
      <c r="P61" s="116"/>
      <c r="Q61" s="198"/>
      <c r="R61" s="198"/>
    </row>
    <row r="62" spans="1:18" s="173" customFormat="1" ht="12.75" hidden="1" customHeight="1" x14ac:dyDescent="0.2">
      <c r="A62" s="48"/>
      <c r="B62" s="170">
        <v>22</v>
      </c>
      <c r="C62" s="46" t="str">
        <f t="shared" si="2"/>
        <v/>
      </c>
      <c r="D62" s="47" t="str">
        <f>IF(OR($R$3="",AND(Q8="",R8="")),"",CONCATENATE($R$3,": ",IF(N8="","",N8&amp;", "),IF(O8="","",O8&amp;", "),IF(P8="","",P8&amp;", "),IF(Q8="","xxxx",TEXT(Q8,"# ##0,-")),", ",IF(R8="","xxxx",TEXT(R8,"# ##0,-"))))</f>
        <v/>
      </c>
      <c r="E62" s="171"/>
      <c r="F62" s="171"/>
      <c r="G62" s="47"/>
      <c r="H62" s="47"/>
      <c r="I62" s="172"/>
      <c r="J62" s="47"/>
      <c r="K62" s="46" t="str">
        <f>IF(P8="","",MID(P8,1,5))</f>
        <v>SALDO</v>
      </c>
      <c r="L62" s="198"/>
      <c r="O62" s="197"/>
      <c r="P62" s="116"/>
      <c r="Q62" s="198"/>
      <c r="R62" s="198"/>
    </row>
    <row r="63" spans="1:18" s="173" customFormat="1" ht="12.75" hidden="1" customHeight="1" x14ac:dyDescent="0.2">
      <c r="A63" s="48"/>
      <c r="B63" s="170">
        <v>23</v>
      </c>
      <c r="C63" s="46" t="str">
        <f t="shared" si="2"/>
        <v/>
      </c>
      <c r="D63" s="47" t="str">
        <f>IF(OR($R$3="",AND(Q9="",R9="")),"",CONCATENATE($R$3,": ",IF(N9="","",N9&amp;", "),IF(O9="","",O9&amp;", "),IF(P9="","",P9&amp;", "),IF(Q9="","xxxx",TEXT(Q9,"# ##0,-")),", ",IF(R9="","xxxx",TEXT(R9,"# ##0,-"))))</f>
        <v/>
      </c>
      <c r="E63" s="171"/>
      <c r="F63" s="171"/>
      <c r="G63" s="47"/>
      <c r="H63" s="47"/>
      <c r="I63" s="172"/>
      <c r="J63" s="47"/>
      <c r="K63" s="46" t="str">
        <f>IF(P9="","",MID(P9,1,5))</f>
        <v>Summe</v>
      </c>
      <c r="L63" s="198"/>
      <c r="O63" s="197"/>
      <c r="P63" s="116"/>
      <c r="Q63" s="198"/>
      <c r="R63" s="198"/>
    </row>
    <row r="64" spans="1:18" s="173" customFormat="1" ht="12.75" hidden="1" customHeight="1" x14ac:dyDescent="0.2">
      <c r="A64" s="48"/>
      <c r="B64" s="170">
        <v>24</v>
      </c>
      <c r="C64" s="46" t="str">
        <f t="shared" si="2"/>
        <v/>
      </c>
      <c r="D64" s="47" t="str">
        <f>IF(OR($L$11="",AND(K13="",L13="")),"",CONCATENATE($L$11,": ",IF(H13="","",H13&amp;", "),IF(I13="","",I13&amp;", "),IF(J13="","",J13&amp;", "),IF(K13="","xxxx",TEXT(K13,"# ##0,-")),", ",IF(L13="","xxxx",TEXT(L13,"# ##0,-"))))</f>
        <v/>
      </c>
      <c r="E64" s="171"/>
      <c r="F64" s="171"/>
      <c r="G64" s="47"/>
      <c r="H64" s="47"/>
      <c r="I64" s="172"/>
      <c r="J64" s="47"/>
      <c r="K64" s="46" t="str">
        <f>IF(J13="","",MID(J13,1,5))</f>
        <v/>
      </c>
      <c r="L64" s="198"/>
      <c r="O64" s="197"/>
      <c r="P64" s="116"/>
      <c r="Q64" s="198"/>
      <c r="R64" s="198"/>
    </row>
    <row r="65" spans="1:18" s="173" customFormat="1" ht="12.75" hidden="1" customHeight="1" x14ac:dyDescent="0.2">
      <c r="A65" s="48"/>
      <c r="B65" s="170">
        <v>25</v>
      </c>
      <c r="C65" s="46" t="str">
        <f t="shared" si="2"/>
        <v/>
      </c>
      <c r="D65" s="47" t="str">
        <f>IF(OR($L$11="",AND(K14="",L14="")),"",CONCATENATE($L$11,": ",IF(H14="","",H14&amp;", "),IF(I14="","",I14&amp;", "),IF(J14="","",J14&amp;", "),IF(K14="","xxxx",TEXT(K14,"# ##0,-")),", ",IF(L14="","xxxx",TEXT(L14,"# ##0,-"))))</f>
        <v/>
      </c>
      <c r="E65" s="171"/>
      <c r="F65" s="171"/>
      <c r="G65" s="47"/>
      <c r="H65" s="47"/>
      <c r="I65" s="172"/>
      <c r="J65" s="47"/>
      <c r="K65" s="46" t="str">
        <f>IF(J14="","",MID(J14,1,5))</f>
        <v/>
      </c>
      <c r="L65" s="198"/>
      <c r="O65" s="197"/>
      <c r="P65" s="116"/>
      <c r="Q65" s="198"/>
      <c r="R65" s="198"/>
    </row>
    <row r="66" spans="1:18" s="173" customFormat="1" ht="12.75" hidden="1" customHeight="1" x14ac:dyDescent="0.2">
      <c r="A66" s="48"/>
      <c r="B66" s="170">
        <v>26</v>
      </c>
      <c r="C66" s="46" t="str">
        <f t="shared" si="2"/>
        <v/>
      </c>
      <c r="D66" s="47" t="str">
        <f>IF(OR($L$11="",AND(K15="",L15="")),"",CONCATENATE($L$11,": ",IF(H15="","",H15&amp;", "),IF(I15="","",I15&amp;", "),IF(J15="","",J15&amp;", "),IF(K15="","xxxx",TEXT(K15,"# ##0,-")),", ",IF(L15="","xxxx",TEXT(L15,"# ##0,-"))))</f>
        <v/>
      </c>
      <c r="E66" s="171"/>
      <c r="F66" s="171"/>
      <c r="G66" s="47"/>
      <c r="H66" s="47"/>
      <c r="I66" s="172"/>
      <c r="J66" s="47"/>
      <c r="K66" s="46" t="str">
        <f>IF(J15="","",MID(J15,1,5))</f>
        <v/>
      </c>
      <c r="L66" s="198"/>
      <c r="O66" s="197"/>
      <c r="P66" s="116"/>
      <c r="Q66" s="198"/>
      <c r="R66" s="198"/>
    </row>
    <row r="67" spans="1:18" s="173" customFormat="1" ht="12.75" hidden="1" customHeight="1" x14ac:dyDescent="0.2">
      <c r="A67" s="48"/>
      <c r="B67" s="170">
        <v>27</v>
      </c>
      <c r="C67" s="46" t="str">
        <f t="shared" si="2"/>
        <v/>
      </c>
      <c r="D67" s="47" t="str">
        <f>IF(OR($L$11="",AND(K16="",L16="")),"",CONCATENATE($L$11,": ",IF(H16="","",H16&amp;", "),IF(I16="","",I16&amp;", "),IF(J16="","",J16&amp;", "),IF(K16="","xxxx",TEXT(K16,"# ##0,-")),", ",IF(L16="","xxxx",TEXT(L16,"# ##0,-"))))</f>
        <v/>
      </c>
      <c r="E67" s="171"/>
      <c r="F67" s="171"/>
      <c r="G67" s="47"/>
      <c r="H67" s="47"/>
      <c r="I67" s="172"/>
      <c r="J67" s="47"/>
      <c r="K67" s="46" t="str">
        <f>IF(J16="","",MID(J16,1,5))</f>
        <v>SALDO</v>
      </c>
      <c r="L67" s="198"/>
      <c r="O67" s="197"/>
      <c r="P67" s="116"/>
      <c r="Q67" s="198"/>
      <c r="R67" s="198"/>
    </row>
    <row r="68" spans="1:18" s="173" customFormat="1" ht="12.75" hidden="1" customHeight="1" x14ac:dyDescent="0.2">
      <c r="A68" s="48"/>
      <c r="B68" s="170">
        <v>28</v>
      </c>
      <c r="C68" s="46" t="str">
        <f t="shared" si="2"/>
        <v/>
      </c>
      <c r="D68" s="47" t="str">
        <f>IF(OR($L$11="",AND(K17="",L17="")),"",CONCATENATE($L$11,": ",IF(H17="","",H17&amp;", "),IF(I17="","",I17&amp;", "),IF(J17="","",J17&amp;", "),IF(K17="","xxxx",TEXT(K17,"# ##0,-")),", ",IF(L17="","xxxx",TEXT(L17,"# ##0,-"))))</f>
        <v/>
      </c>
      <c r="E68" s="171"/>
      <c r="F68" s="171"/>
      <c r="G68" s="47"/>
      <c r="H68" s="47"/>
      <c r="I68" s="172"/>
      <c r="J68" s="47"/>
      <c r="K68" s="46" t="str">
        <f>IF(J17="","",MID(J17,1,5))</f>
        <v>Summe</v>
      </c>
      <c r="L68" s="198"/>
      <c r="O68" s="197"/>
      <c r="P68" s="116"/>
      <c r="Q68" s="198"/>
      <c r="R68" s="198"/>
    </row>
    <row r="69" spans="1:18" s="173" customFormat="1" ht="12.75" hidden="1" customHeight="1" x14ac:dyDescent="0.2">
      <c r="A69" s="48"/>
      <c r="B69" s="170">
        <v>29</v>
      </c>
      <c r="C69" s="46" t="str">
        <f t="shared" si="2"/>
        <v/>
      </c>
      <c r="D69" s="47" t="str">
        <f>IF(OR($R$11="",AND(Q13="",R13="")),"",CONCATENATE($R$11,": ",IF(N13="","",N13&amp;", "),IF(O13="","",O13&amp;", "),IF(P13="","",P13&amp;", "),IF(Q13="","xxxx",TEXT(Q13,"# ##0,-")),", ",IF(R13="","xxxx",TEXT(R13,"# ##0,-"))))</f>
        <v/>
      </c>
      <c r="E69" s="171"/>
      <c r="F69" s="171"/>
      <c r="G69" s="47"/>
      <c r="H69" s="47"/>
      <c r="I69" s="172"/>
      <c r="J69" s="47"/>
      <c r="K69" s="46" t="str">
        <f>IF(P13="","",MID(P13,1,5))</f>
        <v/>
      </c>
      <c r="L69" s="198"/>
      <c r="O69" s="197"/>
      <c r="P69" s="116"/>
      <c r="Q69" s="198"/>
      <c r="R69" s="198"/>
    </row>
    <row r="70" spans="1:18" s="173" customFormat="1" ht="12.75" hidden="1" customHeight="1" x14ac:dyDescent="0.2">
      <c r="A70" s="48"/>
      <c r="B70" s="170">
        <v>30</v>
      </c>
      <c r="C70" s="46" t="str">
        <f t="shared" si="2"/>
        <v/>
      </c>
      <c r="D70" s="47" t="str">
        <f>IF(OR($R$11="",AND(Q14="",R14="")),"",CONCATENATE($R$11,": ",IF(N14="","",N14&amp;", "),IF(O14="","",O14&amp;", "),IF(P14="","",P14&amp;", "),IF(Q14="","xxxx",TEXT(Q14,"# ##0,-")),", ",IF(R14="","xxxx",TEXT(R14,"# ##0,-"))))</f>
        <v/>
      </c>
      <c r="E70" s="171"/>
      <c r="F70" s="171"/>
      <c r="G70" s="47"/>
      <c r="H70" s="47"/>
      <c r="I70" s="172"/>
      <c r="J70" s="47"/>
      <c r="K70" s="46" t="str">
        <f>IF(P14="","",MID(P14,1,5))</f>
        <v/>
      </c>
      <c r="L70" s="198"/>
      <c r="O70" s="197"/>
      <c r="P70" s="116"/>
      <c r="Q70" s="198"/>
      <c r="R70" s="198"/>
    </row>
    <row r="71" spans="1:18" s="173" customFormat="1" ht="12.75" hidden="1" customHeight="1" x14ac:dyDescent="0.2">
      <c r="A71" s="48"/>
      <c r="B71" s="170">
        <v>31</v>
      </c>
      <c r="C71" s="46" t="str">
        <f t="shared" si="2"/>
        <v/>
      </c>
      <c r="D71" s="47" t="str">
        <f>IF(OR($R$11="",AND(Q15="",R15="")),"",CONCATENATE($R$11,": ",IF(N15="","",N15&amp;", "),IF(O15="","",O15&amp;", "),IF(P15="","",P15&amp;", "),IF(Q15="","xxxx",TEXT(Q15,"# ##0,-")),", ",IF(R15="","xxxx",TEXT(R15,"# ##0,-"))))</f>
        <v/>
      </c>
      <c r="E71" s="171"/>
      <c r="F71" s="171"/>
      <c r="G71" s="47"/>
      <c r="H71" s="47"/>
      <c r="I71" s="172"/>
      <c r="J71" s="47"/>
      <c r="K71" s="46" t="str">
        <f>IF(P15="","",MID(P15,1,5))</f>
        <v/>
      </c>
      <c r="L71" s="198"/>
      <c r="O71" s="197"/>
      <c r="P71" s="116"/>
      <c r="Q71" s="198"/>
      <c r="R71" s="198"/>
    </row>
    <row r="72" spans="1:18" s="173" customFormat="1" ht="12.75" hidden="1" customHeight="1" x14ac:dyDescent="0.2">
      <c r="A72" s="48"/>
      <c r="B72" s="170">
        <v>32</v>
      </c>
      <c r="C72" s="46" t="str">
        <f t="shared" si="2"/>
        <v/>
      </c>
      <c r="D72" s="47" t="str">
        <f>IF(OR($R$11="",AND(Q16="",R16="")),"",CONCATENATE($R$11,": ",IF(N16="","",N16&amp;", "),IF(O16="","",O16&amp;", "),IF(P16="","",P16&amp;", "),IF(Q16="","xxxx",TEXT(Q16,"# ##0,-")),", ",IF(R16="","xxxx",TEXT(R16,"# ##0,-"))))</f>
        <v/>
      </c>
      <c r="E72" s="171"/>
      <c r="F72" s="171"/>
      <c r="G72" s="47"/>
      <c r="H72" s="47"/>
      <c r="I72" s="172"/>
      <c r="J72" s="47"/>
      <c r="K72" s="46" t="str">
        <f>IF(P16="","",MID(P16,1,5))</f>
        <v>SALDO</v>
      </c>
      <c r="L72" s="198"/>
      <c r="O72" s="197"/>
      <c r="P72" s="116"/>
      <c r="Q72" s="198"/>
      <c r="R72" s="198"/>
    </row>
    <row r="73" spans="1:18" s="173" customFormat="1" ht="12.75" hidden="1" customHeight="1" x14ac:dyDescent="0.2">
      <c r="A73" s="48"/>
      <c r="B73" s="170">
        <v>33</v>
      </c>
      <c r="C73" s="46" t="str">
        <f t="shared" si="2"/>
        <v/>
      </c>
      <c r="D73" s="47" t="str">
        <f>IF(OR($R$11="",AND(Q17="",R17="")),"",CONCATENATE($R$11,": ",IF(N17="","",N17&amp;", "),IF(O17="","",O17&amp;", "),IF(P17="","",P17&amp;", "),IF(Q17="","xxxx",TEXT(Q17,"# ##0,-")),", ",IF(R17="","xxxx",TEXT(R17,"# ##0,-"))))</f>
        <v/>
      </c>
      <c r="E73" s="171"/>
      <c r="F73" s="171"/>
      <c r="G73" s="47"/>
      <c r="H73" s="47"/>
      <c r="I73" s="172"/>
      <c r="J73" s="47"/>
      <c r="K73" s="46" t="str">
        <f>IF(P17="","",MID(P17,1,5))</f>
        <v>Summe</v>
      </c>
      <c r="L73" s="198"/>
      <c r="O73" s="197"/>
      <c r="P73" s="116"/>
      <c r="Q73" s="198"/>
      <c r="R73" s="198"/>
    </row>
    <row r="74" spans="1:18" s="173" customFormat="1" ht="12.75" hidden="1" customHeight="1" x14ac:dyDescent="0.2">
      <c r="A74" s="48"/>
      <c r="B74" s="170">
        <v>34</v>
      </c>
      <c r="C74" s="46" t="str">
        <f t="shared" si="2"/>
        <v xml:space="preserve"> 56015Treib</v>
      </c>
      <c r="D74" s="47" t="str">
        <f>IF(OR($F$19="",AND(E21="",F21="")),"",CONCATENATE($F$19,": ",IF(B21="","",B21&amp;", "),IF(C21="","",C21&amp;", "),IF(D21="","",D21&amp;", "),IF(E21="","xxxx",TEXT(E21,"# ##0,-")),", ",IF(F21="","xxxx",TEXT(F21,"# ##0,-"))))</f>
        <v xml:space="preserve"> 56015: B2, 15.02., Treibstoffkauf, 432,-, xxxx</v>
      </c>
      <c r="E74" s="171"/>
      <c r="F74" s="171"/>
      <c r="G74" s="47"/>
      <c r="H74" s="47"/>
      <c r="I74" s="172"/>
      <c r="J74" s="47"/>
      <c r="K74" s="46" t="str">
        <f>IF(D21="","",MID(D21,1,5))</f>
        <v>Treib</v>
      </c>
      <c r="L74" s="198"/>
      <c r="O74" s="197"/>
      <c r="P74" s="116"/>
      <c r="Q74" s="198"/>
      <c r="R74" s="198"/>
    </row>
    <row r="75" spans="1:18" s="173" customFormat="1" ht="12.75" hidden="1" customHeight="1" x14ac:dyDescent="0.2">
      <c r="A75" s="48"/>
      <c r="B75" s="170">
        <v>35</v>
      </c>
      <c r="C75" s="46" t="str">
        <f t="shared" si="2"/>
        <v xml:space="preserve"> 56015Mehrw</v>
      </c>
      <c r="D75" s="47" t="str">
        <f>IF(OR($F$19="",AND(E22="",F22="")),"",CONCATENATE($F$19,": ",IF(B22="","",B22&amp;", "),IF(C22="","",C22&amp;", "),IF(D22="","",D22&amp;", "),IF(E22="","xxxx",TEXT(E22,"# ##0,-")),", ",IF(F22="","xxxx",TEXT(F22,"# ##0,-"))))</f>
        <v xml:space="preserve"> 56015: AB, 31.12., Mehrwert zk. Vorr. (Treibstoff), xxxx, 260,-</v>
      </c>
      <c r="E75" s="171"/>
      <c r="F75" s="171"/>
      <c r="G75" s="47"/>
      <c r="H75" s="47"/>
      <c r="I75" s="172"/>
      <c r="J75" s="47"/>
      <c r="K75" s="46" t="str">
        <f>IF(D22="","",MID(D22,1,5))</f>
        <v>Mehrw</v>
      </c>
      <c r="L75" s="198"/>
      <c r="O75" s="197"/>
      <c r="P75" s="116"/>
      <c r="Q75" s="198"/>
      <c r="R75" s="198"/>
    </row>
    <row r="76" spans="1:18" s="173" customFormat="1" ht="12.75" hidden="1" customHeight="1" x14ac:dyDescent="0.2">
      <c r="A76" s="48"/>
      <c r="B76" s="170">
        <v>36</v>
      </c>
      <c r="C76" s="46" t="str">
        <f t="shared" si="2"/>
        <v/>
      </c>
      <c r="D76" s="47" t="str">
        <f>IF(OR($F$19="",AND(E23="",F23="")),"",CONCATENATE($F$19,": ",IF(B23="","",B23&amp;", "),IF(C23="","",C23&amp;", "),IF(D23="","",D23&amp;", "),IF(E23="","xxxx",TEXT(E23,"# ##0,-")),", ",IF(F23="","xxxx",TEXT(F23,"# ##0,-"))))</f>
        <v/>
      </c>
      <c r="E76" s="171"/>
      <c r="F76" s="171"/>
      <c r="G76" s="47"/>
      <c r="H76" s="47"/>
      <c r="I76" s="172"/>
      <c r="J76" s="47"/>
      <c r="K76" s="46" t="str">
        <f>IF(D23="","",MID(D23,1,5))</f>
        <v/>
      </c>
      <c r="L76" s="198"/>
      <c r="O76" s="197"/>
      <c r="P76" s="116"/>
      <c r="Q76" s="198"/>
      <c r="R76" s="198"/>
    </row>
    <row r="77" spans="1:18" s="173" customFormat="1" ht="12.75" hidden="1" customHeight="1" x14ac:dyDescent="0.2">
      <c r="A77" s="48"/>
      <c r="B77" s="170">
        <v>37</v>
      </c>
      <c r="C77" s="46" t="str">
        <f t="shared" si="2"/>
        <v xml:space="preserve"> 56015SALDO</v>
      </c>
      <c r="D77" s="47" t="str">
        <f>IF(OR($F$19="",AND(E24="",F24="")),"",CONCATENATE($F$19,": ",IF(B24="","",B24&amp;", "),IF(C24="","",C24&amp;", "),IF(D24="","",D24&amp;", "),IF(E24="","xxxx",TEXT(E24,"# ##0,-")),", ",IF(F24="","xxxx",TEXT(F24,"# ##0,-"))))</f>
        <v xml:space="preserve"> 56015: AB, 31.12., SALDO, xxxx, 172,-</v>
      </c>
      <c r="E77" s="171"/>
      <c r="F77" s="171"/>
      <c r="G77" s="47"/>
      <c r="H77" s="47"/>
      <c r="I77" s="172"/>
      <c r="J77" s="47"/>
      <c r="K77" s="46" t="str">
        <f>IF(D24="","",MID(D24,1,5))</f>
        <v>SALDO</v>
      </c>
      <c r="L77" s="198"/>
      <c r="O77" s="197"/>
      <c r="P77" s="116"/>
      <c r="Q77" s="198"/>
      <c r="R77" s="198"/>
    </row>
    <row r="78" spans="1:18" s="173" customFormat="1" ht="12.75" hidden="1" customHeight="1" x14ac:dyDescent="0.2">
      <c r="A78" s="48"/>
      <c r="B78" s="170">
        <v>38</v>
      </c>
      <c r="C78" s="46" t="str">
        <f t="shared" si="2"/>
        <v xml:space="preserve"> 56015Summe</v>
      </c>
      <c r="D78" s="47" t="str">
        <f>IF(OR($F$19="",AND(E25="",F25="")),"",CONCATENATE($F$19,": ",IF(B25="","",B25&amp;", "),IF(C25="","",C25&amp;", "),IF(D25="","",D25&amp;", "),IF(E25="","xxxx",TEXT(E25,"# ##0,-")),", ",IF(F25="","xxxx",TEXT(F25,"# ##0,-"))))</f>
        <v xml:space="preserve"> 56015: Summe, 432,-, 432,-</v>
      </c>
      <c r="E78" s="171"/>
      <c r="F78" s="171"/>
      <c r="G78" s="47"/>
      <c r="H78" s="47"/>
      <c r="I78" s="172"/>
      <c r="J78" s="47"/>
      <c r="K78" s="46" t="str">
        <f>IF(D25="","",MID(D25,1,5))</f>
        <v>Summe</v>
      </c>
      <c r="L78" s="198"/>
      <c r="O78" s="197"/>
      <c r="P78" s="116"/>
      <c r="Q78" s="198"/>
      <c r="R78" s="198"/>
    </row>
    <row r="79" spans="1:18" s="173" customFormat="1" ht="12.75" hidden="1" customHeight="1" x14ac:dyDescent="0.2">
      <c r="A79" s="48"/>
      <c r="B79" s="170">
        <v>39</v>
      </c>
      <c r="C79" s="46" t="str">
        <f>IF(D79="","",MID(D79,1,FIND(": ",D79,1)-1)&amp;K79)</f>
        <v/>
      </c>
      <c r="D79" s="47" t="str">
        <f>IF(OR($L$19="",AND(K21="",L21="")),"",CONCATENATE($L$19,": ",IF(H21="","",H21&amp;", "),IF(I21="","",I21&amp;", "),IF(J21="","",J21&amp;", "),IF(K21="","xxxx",TEXT(K21,"# ##0,-")),", ",IF(L21="","xxxx",TEXT(L21,"# ##0,-"))))</f>
        <v/>
      </c>
      <c r="E79" s="171"/>
      <c r="F79" s="171"/>
      <c r="G79" s="47"/>
      <c r="H79" s="47"/>
      <c r="I79" s="172"/>
      <c r="J79" s="47"/>
      <c r="K79" s="46" t="str">
        <f>IF(J21="","",MID(J21,1,5))</f>
        <v/>
      </c>
      <c r="L79" s="198"/>
      <c r="O79" s="197"/>
      <c r="P79" s="116"/>
      <c r="Q79" s="198"/>
      <c r="R79" s="198"/>
    </row>
    <row r="80" spans="1:18" s="173" customFormat="1" ht="12.75" hidden="1" customHeight="1" x14ac:dyDescent="0.2">
      <c r="A80" s="48"/>
      <c r="B80" s="170">
        <v>40</v>
      </c>
      <c r="C80" s="46" t="str">
        <f t="shared" ref="C80:C83" si="3">IF(D80="","",MID(D80,1,FIND(": ",D80,1)-1)&amp;K80)</f>
        <v/>
      </c>
      <c r="D80" s="47" t="str">
        <f t="shared" ref="D80:D83" si="4">IF(OR($L$19="",AND(K22="",L22="")),"",CONCATENATE($L$19,": ",IF(H22="","",H22&amp;", "),IF(I22="","",I22&amp;", "),IF(J22="","",J22&amp;", "),IF(K22="","xxxx",TEXT(K22,"# ##0,-")),", ",IF(L22="","xxxx",TEXT(L22,"# ##0,-"))))</f>
        <v/>
      </c>
      <c r="E80" s="171"/>
      <c r="F80" s="171"/>
      <c r="G80" s="47"/>
      <c r="H80" s="47"/>
      <c r="I80" s="172"/>
      <c r="J80" s="47"/>
      <c r="K80" s="46" t="str">
        <f t="shared" ref="K80:K83" si="5">IF(J22="","",MID(J22,1,5))</f>
        <v/>
      </c>
      <c r="L80" s="198"/>
      <c r="O80" s="197"/>
      <c r="P80" s="116"/>
      <c r="Q80" s="198"/>
      <c r="R80" s="198"/>
    </row>
    <row r="81" spans="1:18" s="173" customFormat="1" ht="12.75" hidden="1" customHeight="1" x14ac:dyDescent="0.2">
      <c r="A81" s="48"/>
      <c r="B81" s="170">
        <v>41</v>
      </c>
      <c r="C81" s="46" t="str">
        <f t="shared" si="3"/>
        <v/>
      </c>
      <c r="D81" s="47" t="str">
        <f t="shared" si="4"/>
        <v/>
      </c>
      <c r="E81" s="171"/>
      <c r="F81" s="171"/>
      <c r="G81" s="47"/>
      <c r="H81" s="47"/>
      <c r="I81" s="172"/>
      <c r="J81" s="47"/>
      <c r="K81" s="46" t="str">
        <f t="shared" si="5"/>
        <v/>
      </c>
      <c r="L81" s="198"/>
      <c r="O81" s="197"/>
      <c r="P81" s="116"/>
      <c r="Q81" s="198"/>
      <c r="R81" s="198"/>
    </row>
    <row r="82" spans="1:18" s="173" customFormat="1" ht="12.75" hidden="1" customHeight="1" x14ac:dyDescent="0.2">
      <c r="A82" s="48"/>
      <c r="B82" s="170">
        <v>42</v>
      </c>
      <c r="C82" s="46" t="str">
        <f t="shared" si="3"/>
        <v/>
      </c>
      <c r="D82" s="47" t="str">
        <f t="shared" si="4"/>
        <v/>
      </c>
      <c r="E82" s="171"/>
      <c r="F82" s="171"/>
      <c r="G82" s="47"/>
      <c r="H82" s="47"/>
      <c r="I82" s="172"/>
      <c r="J82" s="47"/>
      <c r="K82" s="46" t="str">
        <f t="shared" si="5"/>
        <v>SALDO</v>
      </c>
      <c r="L82" s="198"/>
      <c r="O82" s="197"/>
      <c r="P82" s="116"/>
      <c r="Q82" s="198"/>
      <c r="R82" s="198"/>
    </row>
    <row r="83" spans="1:18" s="173" customFormat="1" ht="12.75" hidden="1" customHeight="1" x14ac:dyDescent="0.2">
      <c r="A83" s="48"/>
      <c r="B83" s="170">
        <v>43</v>
      </c>
      <c r="C83" s="46" t="str">
        <f t="shared" si="3"/>
        <v/>
      </c>
      <c r="D83" s="47" t="str">
        <f t="shared" si="4"/>
        <v/>
      </c>
      <c r="E83" s="171"/>
      <c r="F83" s="171"/>
      <c r="G83" s="47"/>
      <c r="H83" s="47"/>
      <c r="I83" s="172"/>
      <c r="J83" s="47"/>
      <c r="K83" s="46" t="str">
        <f t="shared" si="5"/>
        <v>Summe</v>
      </c>
      <c r="L83" s="198"/>
      <c r="O83" s="197"/>
      <c r="P83" s="116"/>
      <c r="Q83" s="198"/>
      <c r="R83" s="198"/>
    </row>
    <row r="84" spans="1:18" s="173" customFormat="1" ht="12.75" hidden="1" customHeight="1" x14ac:dyDescent="0.2">
      <c r="A84" s="48"/>
      <c r="B84" s="170">
        <v>44</v>
      </c>
      <c r="C84" s="46" t="str">
        <f t="shared" si="2"/>
        <v/>
      </c>
      <c r="D84" s="47" t="str">
        <f>IF(OR($R$19="",AND(Q21="",R21="")),"",CONCATENATE($R$19,": ",IF(N21="","",N21&amp;", "),IF(O21="","",O21&amp;", "),IF(P21="","",P21&amp;", "),IF(Q21="","xxxx",TEXT(Q21,"# ##0,-")),", ",IF(R21="","xxxx",TEXT(R21,"# ##0,-"))))</f>
        <v/>
      </c>
      <c r="E84" s="171"/>
      <c r="F84" s="171"/>
      <c r="G84" s="47"/>
      <c r="H84" s="47"/>
      <c r="I84" s="172"/>
      <c r="J84" s="47"/>
      <c r="K84" s="46" t="str">
        <f>IF(P21="","",MID(P21,1,5))</f>
        <v/>
      </c>
      <c r="L84" s="198"/>
      <c r="O84" s="197"/>
      <c r="P84" s="116"/>
      <c r="Q84" s="198"/>
      <c r="R84" s="198"/>
    </row>
    <row r="85" spans="1:18" s="173" customFormat="1" ht="12.75" hidden="1" customHeight="1" x14ac:dyDescent="0.2">
      <c r="A85" s="48"/>
      <c r="B85" s="170">
        <v>45</v>
      </c>
      <c r="C85" s="46" t="str">
        <f t="shared" si="2"/>
        <v/>
      </c>
      <c r="D85" s="47" t="str">
        <f>IF(OR($R$19="",AND(Q22="",R22="")),"",CONCATENATE($R$19,": ",IF(N22="","",N22&amp;", "),IF(O22="","",O22&amp;", "),IF(P22="","",P22&amp;", "),IF(Q22="","xxxx",TEXT(Q22,"# ##0,-")),", ",IF(R22="","xxxx",TEXT(R22,"# ##0,-"))))</f>
        <v/>
      </c>
      <c r="E85" s="171"/>
      <c r="F85" s="171"/>
      <c r="G85" s="47"/>
      <c r="H85" s="47"/>
      <c r="I85" s="172"/>
      <c r="J85" s="47"/>
      <c r="K85" s="46" t="str">
        <f>IF(P22="","",MID(P22,1,5))</f>
        <v/>
      </c>
      <c r="L85" s="198"/>
      <c r="O85" s="197"/>
      <c r="P85" s="116"/>
      <c r="Q85" s="198"/>
      <c r="R85" s="198"/>
    </row>
    <row r="86" spans="1:18" s="173" customFormat="1" ht="12.75" hidden="1" customHeight="1" x14ac:dyDescent="0.2">
      <c r="A86" s="48"/>
      <c r="B86" s="170">
        <v>46</v>
      </c>
      <c r="C86" s="46" t="str">
        <f t="shared" si="2"/>
        <v/>
      </c>
      <c r="D86" s="47" t="str">
        <f>IF(OR($R$19="",AND(Q23="",R23="")),"",CONCATENATE($R$19,": ",IF(N23="","",N23&amp;", "),IF(O23="","",O23&amp;", "),IF(P23="","",P23&amp;", "),IF(Q23="","xxxx",TEXT(Q23,"# ##0,-")),", ",IF(R23="","xxxx",TEXT(R23,"# ##0,-"))))</f>
        <v/>
      </c>
      <c r="E86" s="171"/>
      <c r="F86" s="171"/>
      <c r="G86" s="47"/>
      <c r="H86" s="47"/>
      <c r="I86" s="172"/>
      <c r="J86" s="47"/>
      <c r="K86" s="46" t="str">
        <f>IF(P23="","",MID(P23,1,5))</f>
        <v/>
      </c>
      <c r="L86" s="198"/>
      <c r="O86" s="197"/>
      <c r="P86" s="116"/>
      <c r="Q86" s="198"/>
      <c r="R86" s="198"/>
    </row>
    <row r="87" spans="1:18" s="173" customFormat="1" ht="12.75" hidden="1" customHeight="1" x14ac:dyDescent="0.2">
      <c r="A87" s="48"/>
      <c r="B87" s="170">
        <v>47</v>
      </c>
      <c r="C87" s="46" t="str">
        <f t="shared" si="2"/>
        <v/>
      </c>
      <c r="D87" s="47" t="str">
        <f>IF(OR($R$19="",AND(Q24="",R24="")),"",CONCATENATE($R$19,": ",IF(N24="","",N24&amp;", "),IF(O24="","",O24&amp;", "),IF(P24="","",P24&amp;", "),IF(Q24="","xxxx",TEXT(Q24,"# ##0,-")),", ",IF(R24="","xxxx",TEXT(R24,"# ##0,-"))))</f>
        <v/>
      </c>
      <c r="E87" s="171"/>
      <c r="F87" s="171"/>
      <c r="G87" s="47"/>
      <c r="H87" s="47"/>
      <c r="I87" s="172"/>
      <c r="J87" s="47"/>
      <c r="K87" s="46" t="str">
        <f>IF(P24="","",MID(P24,1,5))</f>
        <v>SALDO</v>
      </c>
      <c r="L87" s="198"/>
      <c r="O87" s="197"/>
      <c r="P87" s="116"/>
      <c r="Q87" s="198"/>
      <c r="R87" s="198"/>
    </row>
    <row r="88" spans="1:18" s="173" customFormat="1" ht="12.75" hidden="1" customHeight="1" x14ac:dyDescent="0.2">
      <c r="A88" s="48"/>
      <c r="B88" s="170">
        <v>48</v>
      </c>
      <c r="C88" s="46" t="str">
        <f t="shared" si="2"/>
        <v/>
      </c>
      <c r="D88" s="47" t="str">
        <f>IF(OR($R$19="",AND(Q25="",R25="")),"",CONCATENATE($R$19,": ",IF(N25="","",N25&amp;", "),IF(O25="","",O25&amp;", "),IF(P25="","",P25&amp;", "),IF(Q25="","xxxx",TEXT(Q25,"# ##0,-")),", ",IF(R25="","xxxx",TEXT(R25,"# ##0,-"))))</f>
        <v/>
      </c>
      <c r="E88" s="171"/>
      <c r="F88" s="171"/>
      <c r="G88" s="47"/>
      <c r="H88" s="47"/>
      <c r="I88" s="172"/>
      <c r="J88" s="47"/>
      <c r="K88" s="46" t="str">
        <f>IF(P25="","",MID(P25,1,5))</f>
        <v>Summe</v>
      </c>
      <c r="L88" s="198"/>
      <c r="O88" s="197"/>
      <c r="P88" s="116"/>
      <c r="Q88" s="198"/>
      <c r="R88" s="198"/>
    </row>
    <row r="89" spans="1:18" s="173" customFormat="1" ht="12.75" hidden="1" customHeight="1" x14ac:dyDescent="0.2">
      <c r="A89" s="48"/>
      <c r="B89" s="170">
        <v>49</v>
      </c>
      <c r="C89" s="46" t="str">
        <f t="shared" si="2"/>
        <v xml:space="preserve"> 70200Afa G</v>
      </c>
      <c r="D89" s="47" t="str">
        <f>IF(OR($F$27="",AND(E29="",F29="")),"",CONCATENATE($F$27,": ",IF(B29="","",B29&amp;", "),IF(C29="","",C29&amp;", "),IF(D29="","",D29&amp;", "),IF(E29="","xxxx",TEXT(E29,"# ##0,-")),", ",IF(F29="","xxxx",TEXT(F29,"# ##0,-"))))</f>
        <v xml:space="preserve"> 70200: AB, 31.12., Afa Gebäude, 4 269,-, xxxx</v>
      </c>
      <c r="E89" s="171"/>
      <c r="F89" s="171"/>
      <c r="G89" s="47"/>
      <c r="H89" s="47"/>
      <c r="I89" s="172"/>
      <c r="J89" s="47"/>
      <c r="K89" s="46" t="str">
        <f>IF(D29="","",MID(D29,1,5))</f>
        <v>Afa G</v>
      </c>
      <c r="L89" s="198"/>
      <c r="O89" s="197"/>
      <c r="P89" s="116"/>
      <c r="Q89" s="198"/>
      <c r="R89" s="198"/>
    </row>
    <row r="90" spans="1:18" s="173" customFormat="1" ht="12.75" hidden="1" customHeight="1" x14ac:dyDescent="0.2">
      <c r="A90" s="48"/>
      <c r="B90" s="170">
        <v>50</v>
      </c>
      <c r="C90" s="46" t="str">
        <f t="shared" si="2"/>
        <v xml:space="preserve"> 70200Afa M</v>
      </c>
      <c r="D90" s="47" t="str">
        <f>IF(OR($F$27="",AND(E30="",F30="")),"",CONCATENATE($F$27,": ",IF(B30="","",B30&amp;", "),IF(C30="","",C30&amp;", "),IF(D30="","",D30&amp;", "),IF(E30="","xxxx",TEXT(E30,"# ##0,-")),", ",IF(F30="","xxxx",TEXT(F30,"# ##0,-"))))</f>
        <v xml:space="preserve"> 70200: AB, 31.12., Afa Maschinen, 3 424,-, xxxx</v>
      </c>
      <c r="E90" s="171"/>
      <c r="F90" s="171"/>
      <c r="G90" s="47"/>
      <c r="H90" s="47"/>
      <c r="I90" s="172"/>
      <c r="J90" s="47"/>
      <c r="K90" s="46" t="str">
        <f>IF(D30="","",MID(D30,1,5))</f>
        <v>Afa M</v>
      </c>
      <c r="L90" s="198"/>
      <c r="O90" s="197"/>
      <c r="P90" s="116"/>
      <c r="Q90" s="198"/>
      <c r="R90" s="198"/>
    </row>
    <row r="91" spans="1:18" s="173" customFormat="1" ht="12.75" hidden="1" customHeight="1" x14ac:dyDescent="0.2">
      <c r="A91" s="48"/>
      <c r="B91" s="170">
        <v>51</v>
      </c>
      <c r="C91" s="46" t="str">
        <f t="shared" si="2"/>
        <v/>
      </c>
      <c r="D91" s="47" t="str">
        <f>IF(OR($F$27="",AND(E31="",F31="")),"",CONCATENATE($F$27,": ",IF(B31="","",B31&amp;", "),IF(C31="","",C31&amp;", "),IF(D31="","",D31&amp;", "),IF(E31="","xxxx",TEXT(E31,"# ##0,-")),", ",IF(F31="","xxxx",TEXT(F31,"# ##0,-"))))</f>
        <v/>
      </c>
      <c r="E91" s="171"/>
      <c r="F91" s="171"/>
      <c r="G91" s="47"/>
      <c r="H91" s="47"/>
      <c r="I91" s="172"/>
      <c r="J91" s="47"/>
      <c r="K91" s="46" t="str">
        <f>IF(D31="","",MID(D31,1,5))</f>
        <v/>
      </c>
      <c r="L91" s="198"/>
      <c r="O91" s="197"/>
      <c r="P91" s="116"/>
      <c r="Q91" s="198"/>
      <c r="R91" s="198"/>
    </row>
    <row r="92" spans="1:18" s="173" customFormat="1" ht="12.75" hidden="1" customHeight="1" x14ac:dyDescent="0.2">
      <c r="A92" s="48"/>
      <c r="B92" s="170">
        <v>52</v>
      </c>
      <c r="C92" s="46" t="str">
        <f t="shared" si="2"/>
        <v xml:space="preserve"> 70200SALDO</v>
      </c>
      <c r="D92" s="47" t="str">
        <f>IF(OR($F$27="",AND(E32="",F32="")),"",CONCATENATE($F$27,": ",IF(B32="","",B32&amp;", "),IF(C32="","",C32&amp;", "),IF(D32="","",D32&amp;", "),IF(E32="","xxxx",TEXT(E32,"# ##0,-")),", ",IF(F32="","xxxx",TEXT(F32,"# ##0,-"))))</f>
        <v xml:space="preserve"> 70200: AB, 31.12., SALDO, xxxx, 7 692,-</v>
      </c>
      <c r="E92" s="171"/>
      <c r="F92" s="171"/>
      <c r="G92" s="47"/>
      <c r="H92" s="47"/>
      <c r="I92" s="172"/>
      <c r="J92" s="47"/>
      <c r="K92" s="46" t="str">
        <f>IF(D32="","",MID(D32,1,5))</f>
        <v>SALDO</v>
      </c>
      <c r="L92" s="198"/>
      <c r="O92" s="197"/>
      <c r="P92" s="116"/>
      <c r="Q92" s="198"/>
      <c r="R92" s="198"/>
    </row>
    <row r="93" spans="1:18" s="173" customFormat="1" ht="12.75" hidden="1" customHeight="1" x14ac:dyDescent="0.2">
      <c r="A93" s="48"/>
      <c r="B93" s="170">
        <v>53</v>
      </c>
      <c r="C93" s="46" t="str">
        <f t="shared" si="2"/>
        <v xml:space="preserve"> 70200Summe</v>
      </c>
      <c r="D93" s="47" t="str">
        <f>IF(OR($F$27="",AND(E33="",F33="")),"",CONCATENATE($F$27,": ",IF(B33="","",B33&amp;", "),IF(C33="","",C33&amp;", "),IF(D33="","",D33&amp;", "),IF(E33="","xxxx",TEXT(E33,"# ##0,-")),", ",IF(F33="","xxxx",TEXT(F33,"# ##0,-"))))</f>
        <v xml:space="preserve"> 70200: Summe, 7 692,-, 7 692,-</v>
      </c>
      <c r="E93" s="171"/>
      <c r="F93" s="171"/>
      <c r="G93" s="47"/>
      <c r="H93" s="47"/>
      <c r="I93" s="172"/>
      <c r="J93" s="47"/>
      <c r="K93" s="46" t="str">
        <f>IF(D33="","",MID(D33,1,5))</f>
        <v>Summe</v>
      </c>
      <c r="L93" s="198"/>
      <c r="O93" s="197"/>
      <c r="P93" s="116"/>
      <c r="Q93" s="198"/>
      <c r="R93" s="198"/>
    </row>
    <row r="94" spans="1:18" s="173" customFormat="1" ht="12.75" hidden="1" customHeight="1" x14ac:dyDescent="0.2">
      <c r="A94" s="48"/>
      <c r="B94" s="170">
        <v>54</v>
      </c>
      <c r="C94" s="46" t="str">
        <f t="shared" si="2"/>
        <v/>
      </c>
      <c r="D94" s="47" t="str">
        <f>IF(OR($L$27="",AND(K29="",L29="")),"",CONCATENATE($L$27,": ",IF(H29="","",H29&amp;", "),IF(I29="","",I29&amp;", "),IF(J29="","",J29&amp;", "),IF(K29="","xxxx",TEXT(K29,"# ##0,-")),", ",IF(L29="","xxxx",TEXT(L29,"# ##0,-"))))</f>
        <v/>
      </c>
      <c r="E94" s="171"/>
      <c r="F94" s="171"/>
      <c r="G94" s="47"/>
      <c r="H94" s="47"/>
      <c r="I94" s="172"/>
      <c r="J94" s="47"/>
      <c r="K94" s="46" t="str">
        <f>IF(J29="","",MID(J29,1,5))</f>
        <v/>
      </c>
      <c r="L94" s="198"/>
      <c r="O94" s="197"/>
      <c r="P94" s="116"/>
      <c r="Q94" s="198"/>
      <c r="R94" s="198"/>
    </row>
    <row r="95" spans="1:18" s="173" customFormat="1" ht="12.75" hidden="1" customHeight="1" x14ac:dyDescent="0.2">
      <c r="A95" s="48"/>
      <c r="B95" s="170">
        <v>55</v>
      </c>
      <c r="C95" s="46" t="str">
        <f t="shared" si="2"/>
        <v/>
      </c>
      <c r="D95" s="47" t="str">
        <f>IF(OR($L$27="",AND(K30="",L30="")),"",CONCATENATE($L$27,": ",IF(H30="","",H30&amp;", "),IF(I30="","",I30&amp;", "),IF(J30="","",J30&amp;", "),IF(K30="","xxxx",TEXT(K30,"# ##0,-")),", ",IF(L30="","xxxx",TEXT(L30,"# ##0,-"))))</f>
        <v/>
      </c>
      <c r="E95" s="171"/>
      <c r="F95" s="171"/>
      <c r="G95" s="47"/>
      <c r="H95" s="47"/>
      <c r="I95" s="172"/>
      <c r="J95" s="47"/>
      <c r="K95" s="46" t="str">
        <f>IF(J30="","",MID(J30,1,5))</f>
        <v/>
      </c>
      <c r="L95" s="198"/>
      <c r="O95" s="197"/>
      <c r="P95" s="116"/>
      <c r="Q95" s="198"/>
      <c r="R95" s="198"/>
    </row>
    <row r="96" spans="1:18" s="173" customFormat="1" ht="12.75" hidden="1" customHeight="1" x14ac:dyDescent="0.2">
      <c r="A96" s="48"/>
      <c r="B96" s="170">
        <v>56</v>
      </c>
      <c r="C96" s="46" t="str">
        <f t="shared" si="2"/>
        <v/>
      </c>
      <c r="D96" s="47" t="str">
        <f>IF(OR($L$27="",AND(K31="",L31="")),"",CONCATENATE($L$27,": ",IF(H31="","",H31&amp;", "),IF(I31="","",I31&amp;", "),IF(J31="","",J31&amp;", "),IF(K31="","xxxx",TEXT(K31,"# ##0,-")),", ",IF(L31="","xxxx",TEXT(L31,"# ##0,-"))))</f>
        <v/>
      </c>
      <c r="E96" s="171"/>
      <c r="F96" s="171"/>
      <c r="G96" s="47"/>
      <c r="H96" s="47"/>
      <c r="I96" s="172"/>
      <c r="J96" s="47"/>
      <c r="K96" s="46" t="str">
        <f>IF(J31="","",MID(J31,1,5))</f>
        <v/>
      </c>
      <c r="L96" s="198"/>
      <c r="O96" s="197"/>
      <c r="P96" s="116"/>
      <c r="Q96" s="198"/>
      <c r="R96" s="198"/>
    </row>
    <row r="97" spans="1:18" s="173" customFormat="1" ht="12.75" hidden="1" customHeight="1" x14ac:dyDescent="0.2">
      <c r="A97" s="48"/>
      <c r="B97" s="170">
        <v>57</v>
      </c>
      <c r="C97" s="46" t="str">
        <f t="shared" si="2"/>
        <v/>
      </c>
      <c r="D97" s="47" t="str">
        <f>IF(OR($L$27="",AND(K32="",L32="")),"",CONCATENATE($L$27,": ",IF(H32="","",H32&amp;", "),IF(I32="","",I32&amp;", "),IF(J32="","",J32&amp;", "),IF(K32="","xxxx",TEXT(K32,"# ##0,-")),", ",IF(L32="","xxxx",TEXT(L32,"# ##0,-"))))</f>
        <v/>
      </c>
      <c r="E97" s="171"/>
      <c r="F97" s="171"/>
      <c r="G97" s="47"/>
      <c r="H97" s="47"/>
      <c r="I97" s="172"/>
      <c r="J97" s="47"/>
      <c r="K97" s="46" t="str">
        <f>IF(J32="","",MID(J32,1,5))</f>
        <v>SALDO</v>
      </c>
      <c r="L97" s="198"/>
      <c r="O97" s="197"/>
      <c r="P97" s="116"/>
      <c r="Q97" s="198"/>
      <c r="R97" s="198"/>
    </row>
    <row r="98" spans="1:18" s="173" customFormat="1" ht="12.75" hidden="1" customHeight="1" x14ac:dyDescent="0.2">
      <c r="A98" s="48"/>
      <c r="B98" s="170">
        <v>58</v>
      </c>
      <c r="C98" s="46" t="str">
        <f t="shared" si="2"/>
        <v/>
      </c>
      <c r="D98" s="47" t="str">
        <f>IF(OR($L$27="",AND(K33="",L33="")),"",CONCATENATE($L$27,": ",IF(H33="","",H33&amp;", "),IF(I33="","",I33&amp;", "),IF(J33="","",J33&amp;", "),IF(K33="","xxxx",TEXT(K33,"# ##0,-")),", ",IF(L33="","xxxx",TEXT(L33,"# ##0,-"))))</f>
        <v/>
      </c>
      <c r="E98" s="171"/>
      <c r="F98" s="171"/>
      <c r="G98" s="47"/>
      <c r="H98" s="47"/>
      <c r="I98" s="172"/>
      <c r="J98" s="47"/>
      <c r="K98" s="46" t="str">
        <f>IF(J33="","",MID(J33,1,5))</f>
        <v>Summe</v>
      </c>
      <c r="L98" s="198"/>
      <c r="O98" s="197"/>
      <c r="P98" s="116"/>
      <c r="Q98" s="198"/>
      <c r="R98" s="198"/>
    </row>
    <row r="99" spans="1:18" s="173" customFormat="1" ht="12.75" hidden="1" customHeight="1" x14ac:dyDescent="0.2">
      <c r="A99" s="48"/>
      <c r="B99" s="170">
        <v>59</v>
      </c>
      <c r="C99" s="46" t="str">
        <f t="shared" si="2"/>
        <v xml:space="preserve"> 82800Darl.</v>
      </c>
      <c r="D99" s="47" t="str">
        <f>IF(OR($R$27="",AND(Q29="",R29="")),"",CONCATENATE($R$27,": ",IF(N29="","",N29&amp;", "),IF(O29="","",O29&amp;", "),IF(P29="","",P29&amp;", "),IF(Q29="","xxxx",TEXT(Q29,"# ##0,-")),", ",IF(R29="","xxxx",TEXT(R29,"# ##0,-"))))</f>
        <v xml:space="preserve"> 82800: B6, 08.09., Darl.: Zinsen, 558,-, xxxx</v>
      </c>
      <c r="E99" s="171"/>
      <c r="F99" s="171"/>
      <c r="G99" s="47"/>
      <c r="H99" s="47"/>
      <c r="I99" s="172"/>
      <c r="J99" s="47"/>
      <c r="K99" s="46" t="str">
        <f>IF(P29="","",MID(P29,1,5))</f>
        <v>Darl.</v>
      </c>
      <c r="L99" s="198"/>
      <c r="O99" s="197"/>
      <c r="P99" s="116"/>
      <c r="Q99" s="198"/>
      <c r="R99" s="198"/>
    </row>
    <row r="100" spans="1:18" s="173" customFormat="1" ht="12.75" hidden="1" customHeight="1" x14ac:dyDescent="0.2">
      <c r="A100" s="48"/>
      <c r="B100" s="170">
        <v>60</v>
      </c>
      <c r="C100" s="46" t="str">
        <f t="shared" si="2"/>
        <v/>
      </c>
      <c r="D100" s="47" t="str">
        <f>IF(OR($R$27="",AND(Q30="",R30="")),"",CONCATENATE($R$27,": ",IF(N30="","",N30&amp;", "),IF(O30="","",O30&amp;", "),IF(P30="","",P30&amp;", "),IF(Q30="","xxxx",TEXT(Q30,"# ##0,-")),", ",IF(R30="","xxxx",TEXT(R30,"# ##0,-"))))</f>
        <v/>
      </c>
      <c r="E100" s="171"/>
      <c r="F100" s="171"/>
      <c r="G100" s="47"/>
      <c r="H100" s="47"/>
      <c r="I100" s="172"/>
      <c r="J100" s="47"/>
      <c r="K100" s="46" t="str">
        <f>IF(P30="","",MID(P30,1,5))</f>
        <v/>
      </c>
      <c r="L100" s="198"/>
      <c r="O100" s="197"/>
      <c r="P100" s="116"/>
      <c r="Q100" s="198"/>
      <c r="R100" s="198"/>
    </row>
    <row r="101" spans="1:18" s="173" customFormat="1" ht="12.75" hidden="1" customHeight="1" x14ac:dyDescent="0.2">
      <c r="A101" s="48"/>
      <c r="B101" s="170">
        <v>61</v>
      </c>
      <c r="C101" s="46" t="str">
        <f t="shared" si="2"/>
        <v/>
      </c>
      <c r="D101" s="47" t="str">
        <f>IF(OR($R$27="",AND(Q31="",R31="")),"",CONCATENATE($R$27,": ",IF(N31="","",N31&amp;", "),IF(O31="","",O31&amp;", "),IF(P31="","",P31&amp;", "),IF(Q31="","xxxx",TEXT(Q31,"# ##0,-")),", ",IF(R31="","xxxx",TEXT(R31,"# ##0,-"))))</f>
        <v/>
      </c>
      <c r="E101" s="171"/>
      <c r="F101" s="171"/>
      <c r="G101" s="47"/>
      <c r="H101" s="47"/>
      <c r="I101" s="172"/>
      <c r="J101" s="47"/>
      <c r="K101" s="46" t="str">
        <f>IF(P31="","",MID(P31,1,5))</f>
        <v/>
      </c>
      <c r="L101" s="198"/>
      <c r="O101" s="197"/>
      <c r="P101" s="116"/>
      <c r="Q101" s="198"/>
      <c r="R101" s="198"/>
    </row>
    <row r="102" spans="1:18" s="173" customFormat="1" ht="12.75" hidden="1" customHeight="1" x14ac:dyDescent="0.2">
      <c r="A102" s="48"/>
      <c r="B102" s="170">
        <v>62</v>
      </c>
      <c r="C102" s="46" t="str">
        <f t="shared" si="2"/>
        <v xml:space="preserve"> 82800SALDO</v>
      </c>
      <c r="D102" s="47" t="str">
        <f>IF(OR($R$27="",AND(Q32="",R32="")),"",CONCATENATE($R$27,": ",IF(N32="","",N32&amp;", "),IF(O32="","",O32&amp;", "),IF(P32="","",P32&amp;", "),IF(Q32="","xxxx",TEXT(Q32,"# ##0,-")),", ",IF(R32="","xxxx",TEXT(R32,"# ##0,-"))))</f>
        <v xml:space="preserve"> 82800: AB, 31.12., SALDO, xxxx, 558,-</v>
      </c>
      <c r="E102" s="171"/>
      <c r="F102" s="171"/>
      <c r="G102" s="47"/>
      <c r="H102" s="47"/>
      <c r="I102" s="172"/>
      <c r="J102" s="47"/>
      <c r="K102" s="46" t="str">
        <f>IF(P32="","",MID(P32,1,5))</f>
        <v>SALDO</v>
      </c>
      <c r="L102" s="198"/>
      <c r="O102" s="197"/>
      <c r="P102" s="116"/>
      <c r="Q102" s="198"/>
      <c r="R102" s="198"/>
    </row>
    <row r="103" spans="1:18" s="173" customFormat="1" ht="12.75" hidden="1" customHeight="1" x14ac:dyDescent="0.2">
      <c r="A103" s="48"/>
      <c r="B103" s="170">
        <v>63</v>
      </c>
      <c r="C103" s="46" t="str">
        <f t="shared" si="2"/>
        <v xml:space="preserve"> 82800Summe</v>
      </c>
      <c r="D103" s="47" t="str">
        <f>IF(OR($R$27="",AND(Q33="",R33="")),"",CONCATENATE($R$27,": ",IF(N33="","",N33&amp;", "),IF(O33="","",O33&amp;", "),IF(P33="","",P33&amp;", "),IF(Q33="","xxxx",TEXT(Q33,"# ##0,-")),", ",IF(R33="","xxxx",TEXT(R33,"# ##0,-"))))</f>
        <v xml:space="preserve"> 82800: Summe, 558,-, 558,-</v>
      </c>
      <c r="E103" s="171"/>
      <c r="F103" s="171"/>
      <c r="G103" s="47"/>
      <c r="H103" s="47"/>
      <c r="I103" s="172"/>
      <c r="J103" s="47"/>
      <c r="K103" s="46" t="str">
        <f>IF(P33="","",MID(P33,1,5))</f>
        <v>Summe</v>
      </c>
      <c r="L103" s="198"/>
      <c r="O103" s="197"/>
      <c r="P103" s="116"/>
      <c r="Q103" s="198"/>
      <c r="R103" s="198"/>
    </row>
  </sheetData>
  <sheetProtection algorithmName="SHA-512" hashValue="l5hevsEgUhsTr57Q7N031TGd7oud5CMttOSLst9lyYKGkKfhHWUUQcCUD7/F3I85lAEBlDShm4oMs3HcNRHqVA==" saltValue="dD3196xkgOB+g8ZSPjw27w==" spinCount="100000" sheet="1" objects="1" scenarios="1" selectLockedCells="1" selectUnlockedCells="1"/>
  <dataValidations count="4">
    <dataValidation type="list" allowBlank="1" showInputMessage="1" showErrorMessage="1" sqref="D5:D15 D21:D23 D29:D31 J5:J7 J13:J15 J21:J23 J29:J31 P5:P7 P13:P15 P21:P23 P29:P31" xr:uid="{00000000-0002-0000-0A00-000000000000}">
      <formula1>B_Text</formula1>
    </dataValidation>
    <dataValidation type="list" allowBlank="1" showInputMessage="1" showErrorMessage="1" sqref="C5:C16 C21:C24 C29:C32 I5:I8 I13:I16 I21:I24 I29:I32 O5:O8 O13:O16 O21:O24 O29:O32" xr:uid="{00000000-0002-0000-0A00-000001000000}">
      <formula1>Dat</formula1>
    </dataValidation>
    <dataValidation type="list" allowBlank="1" showInputMessage="1" showErrorMessage="1" sqref="B5:B16 B21:B24 H5:H8 H13:H16 N5:N8 N13:N16 H21:H24 N21:N24 B29:B32 H29:H32 N29:N32" xr:uid="{00000000-0002-0000-0A00-000002000000}">
      <formula1>BNr</formula1>
    </dataValidation>
    <dataValidation type="list" allowBlank="1" showInputMessage="1" showErrorMessage="1" sqref="F27 F3 R27 L27 R19 L19 R11 R3 L3 L11 F19" xr:uid="{00000000-0002-0000-0A00-000003000000}">
      <formula1>KTONR</formula1>
    </dataValidation>
  </dataValidations>
  <pageMargins left="0.39370078740157483" right="0.78740157480314965" top="0.59055118110236227" bottom="0.59055118110236227" header="0.39370078740157483" footer="0.31496062992125984"/>
  <pageSetup paperSize="9" scale="77" orientation="landscape" blackAndWhite="1" r:id="rId1"/>
  <headerFooter>
    <oddFooter>&amp;L&amp;"+,Fett"&amp;8Seite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A1:T106"/>
  <sheetViews>
    <sheetView showGridLines="0" showRowColHeaders="0" workbookViewId="0">
      <pane ySplit="2" topLeftCell="A3" activePane="bottomLeft" state="frozen"/>
      <selection activeCell="A2" sqref="A2"/>
      <selection pane="bottomLeft" activeCell="A2" sqref="A2"/>
    </sheetView>
  </sheetViews>
  <sheetFormatPr baseColWidth="10" defaultColWidth="0" defaultRowHeight="15" zeroHeight="1" x14ac:dyDescent="0.25"/>
  <cols>
    <col min="1" max="1" width="0.140625" style="95" customWidth="1"/>
    <col min="2" max="2" width="4.7109375" customWidth="1"/>
    <col min="3" max="3" width="5.7109375" customWidth="1"/>
    <col min="4" max="4" width="22.7109375" customWidth="1"/>
    <col min="5" max="6" width="11.7109375" customWidth="1"/>
    <col min="7" max="7" width="1.7109375" customWidth="1"/>
    <col min="8" max="8" width="4.7109375" customWidth="1"/>
    <col min="9" max="9" width="5.7109375" customWidth="1"/>
    <col min="10" max="10" width="22.7109375" customWidth="1"/>
    <col min="11" max="12" width="11.7109375" customWidth="1"/>
    <col min="13" max="13" width="1.7109375" customWidth="1"/>
    <col min="14" max="14" width="4.7109375" customWidth="1"/>
    <col min="15" max="15" width="5.7109375" customWidth="1"/>
    <col min="16" max="16" width="22.7109375" customWidth="1"/>
    <col min="17" max="18" width="11.7109375" customWidth="1"/>
    <col min="19" max="19" width="2.7109375" customWidth="1"/>
    <col min="20" max="20" width="0" hidden="1" customWidth="1"/>
    <col min="21" max="16384" width="11.42578125" hidden="1"/>
  </cols>
  <sheetData>
    <row r="1" spans="1:20" s="173" customFormat="1" ht="27" customHeight="1" x14ac:dyDescent="0.2">
      <c r="A1" s="48"/>
      <c r="B1" s="306" t="s">
        <v>123</v>
      </c>
      <c r="C1" s="306"/>
      <c r="D1" s="306"/>
      <c r="E1" s="306"/>
      <c r="F1" s="306"/>
      <c r="G1" s="306"/>
      <c r="H1" s="306"/>
      <c r="I1" s="306"/>
      <c r="J1" s="306"/>
      <c r="K1" s="306"/>
      <c r="L1" s="306"/>
      <c r="M1" s="306"/>
      <c r="N1" s="306"/>
      <c r="O1" s="306"/>
      <c r="P1" s="306"/>
      <c r="Q1" s="306"/>
      <c r="R1" s="306"/>
      <c r="S1" s="306"/>
    </row>
    <row r="2" spans="1:20" s="173" customFormat="1" ht="30" customHeight="1" x14ac:dyDescent="0.2">
      <c r="A2" s="48"/>
      <c r="B2" s="174"/>
      <c r="C2" s="174"/>
      <c r="D2" s="174"/>
      <c r="E2" s="218"/>
      <c r="F2" s="218"/>
      <c r="G2" s="174"/>
      <c r="H2" s="174"/>
      <c r="I2" s="174"/>
      <c r="J2" s="174"/>
      <c r="K2" s="218"/>
      <c r="L2" s="218"/>
      <c r="M2" s="174"/>
      <c r="N2" s="174"/>
      <c r="O2" s="174"/>
      <c r="P2" s="174"/>
      <c r="Q2" s="218"/>
      <c r="R2" s="218"/>
    </row>
    <row r="3" spans="1:20" s="173" customFormat="1" ht="20.100000000000001" customHeight="1" x14ac:dyDescent="0.2">
      <c r="A3" s="48"/>
      <c r="B3" s="219"/>
      <c r="C3" s="220"/>
      <c r="D3" s="221" t="str">
        <f>IF(F3="","",VLOOKUP(F3,KTOPL,2,0))</f>
        <v>Privat</v>
      </c>
      <c r="E3" s="222" t="s">
        <v>105</v>
      </c>
      <c r="F3" s="223" t="s">
        <v>125</v>
      </c>
      <c r="H3" s="219"/>
      <c r="I3" s="220"/>
      <c r="J3" s="221" t="str">
        <f>IF(L3="","",VLOOKUP(L3,KTOPL,2,0))</f>
        <v>Schlussbilanzkonto (SBK)</v>
      </c>
      <c r="K3" s="222" t="s">
        <v>105</v>
      </c>
      <c r="L3" s="223" t="s">
        <v>126</v>
      </c>
      <c r="N3" s="219"/>
      <c r="O3" s="220"/>
      <c r="P3" s="221" t="str">
        <f>IF(R3="","",VLOOKUP(R3,KTOPL,2,0))</f>
        <v>Gewinn- und Verlustkonto (GuV)</v>
      </c>
      <c r="Q3" s="222" t="s">
        <v>105</v>
      </c>
      <c r="R3" s="223" t="s">
        <v>127</v>
      </c>
    </row>
    <row r="4" spans="1:20" s="173" customFormat="1" ht="20.100000000000001" customHeight="1" x14ac:dyDescent="0.2">
      <c r="A4" s="48"/>
      <c r="B4" s="224" t="s">
        <v>106</v>
      </c>
      <c r="C4" s="225" t="s">
        <v>107</v>
      </c>
      <c r="D4" s="224" t="s">
        <v>11</v>
      </c>
      <c r="E4" s="226" t="s">
        <v>108</v>
      </c>
      <c r="F4" s="226" t="s">
        <v>109</v>
      </c>
      <c r="H4" s="224" t="s">
        <v>106</v>
      </c>
      <c r="I4" s="225" t="s">
        <v>107</v>
      </c>
      <c r="J4" s="224" t="s">
        <v>11</v>
      </c>
      <c r="K4" s="226" t="s">
        <v>108</v>
      </c>
      <c r="L4" s="226" t="s">
        <v>109</v>
      </c>
      <c r="N4" s="224" t="s">
        <v>106</v>
      </c>
      <c r="O4" s="225" t="s">
        <v>107</v>
      </c>
      <c r="P4" s="224" t="s">
        <v>11</v>
      </c>
      <c r="Q4" s="226" t="s">
        <v>108</v>
      </c>
      <c r="R4" s="226" t="s">
        <v>109</v>
      </c>
    </row>
    <row r="5" spans="1:20" s="173" customFormat="1" ht="20.100000000000001" customHeight="1" x14ac:dyDescent="0.2">
      <c r="A5" s="48"/>
      <c r="B5" s="187" t="str">
        <f>'H-BF'!A25</f>
        <v>B5</v>
      </c>
      <c r="C5" s="188" t="str">
        <f>'H-BF'!B25</f>
        <v>02.08.</v>
      </c>
      <c r="D5" s="137" t="str">
        <f>'H-BF'!C25</f>
        <v>Wohnhausumbau</v>
      </c>
      <c r="E5" s="189">
        <f>'H-BF'!D25</f>
        <v>10792.5</v>
      </c>
      <c r="F5" s="190"/>
      <c r="G5" s="359"/>
      <c r="H5" s="187" t="str">
        <f>'H-BK'!A8</f>
        <v>AB</v>
      </c>
      <c r="I5" s="188" t="str">
        <f t="shared" ref="I5:I7" si="0">IF(H5="","","31.12.")</f>
        <v>31.12.</v>
      </c>
      <c r="J5" s="360" t="str">
        <f>"S. "&amp;'H-BK'!D3</f>
        <v>S. Maschinen und Geräte</v>
      </c>
      <c r="K5" s="190">
        <f>'H-BK'!F8</f>
        <v>101525.4</v>
      </c>
      <c r="L5" s="190" t="str">
        <f>'H-BK'!E8</f>
        <v/>
      </c>
      <c r="M5" s="359"/>
      <c r="N5" s="191" t="str">
        <f>'H-EK'!B16</f>
        <v>AB</v>
      </c>
      <c r="O5" s="192" t="str">
        <f>IF(N5="","","31.12.")</f>
        <v>31.12.</v>
      </c>
      <c r="P5" s="361" t="str">
        <f>"S. "&amp;'H-EK'!F3&amp;" ("&amp;'H-EK'!D3&amp;")"</f>
        <v>S.  41400 (Einnahmen Schafe)</v>
      </c>
      <c r="Q5" s="193" t="str">
        <f>'H-EK'!F16</f>
        <v/>
      </c>
      <c r="R5" s="190">
        <f>'H-EK'!E16</f>
        <v>5169.2999999999993</v>
      </c>
    </row>
    <row r="6" spans="1:20" s="173" customFormat="1" ht="20.100000000000001" customHeight="1" x14ac:dyDescent="0.2">
      <c r="A6" s="48"/>
      <c r="B6" s="191" t="str">
        <f>'H-BF'!A29</f>
        <v>UB1</v>
      </c>
      <c r="C6" s="192" t="str">
        <f>'H-BF'!B29</f>
        <v>30.11.</v>
      </c>
      <c r="D6" s="191" t="str">
        <f>'H-BF'!C29</f>
        <v>Eigenverbrauch Schafmilchprodukte</v>
      </c>
      <c r="E6" s="193">
        <f>'H-BF'!F31</f>
        <v>1498.7999999999997</v>
      </c>
      <c r="F6" s="190"/>
      <c r="G6" s="359"/>
      <c r="H6" s="191" t="str">
        <f>'H-BK'!H8</f>
        <v>AB</v>
      </c>
      <c r="I6" s="192" t="str">
        <f t="shared" si="0"/>
        <v>31.12.</v>
      </c>
      <c r="J6" s="361" t="str">
        <f>"S. "&amp;'H-BK'!J3</f>
        <v>S. Betriebs- und Geschäftsgebäude</v>
      </c>
      <c r="K6" s="193">
        <f>'H-BK'!L8</f>
        <v>51179.6</v>
      </c>
      <c r="L6" s="190" t="str">
        <f>'H-BK'!K8</f>
        <v/>
      </c>
      <c r="M6" s="359"/>
      <c r="N6" s="191" t="str">
        <f>'H-EK'!B24</f>
        <v>AB</v>
      </c>
      <c r="O6" s="192" t="str">
        <f t="shared" ref="O6" si="1">IF(N6="","","31.12.")</f>
        <v>31.12.</v>
      </c>
      <c r="P6" s="361" t="str">
        <f>"S. "&amp;'H-EK'!F19&amp;" ("&amp;'H-EK'!D19&amp;")"</f>
        <v>S.  56015 (Treibstoff Diesel)</v>
      </c>
      <c r="Q6" s="193">
        <f>'H-EK'!F24</f>
        <v>172.09999999999997</v>
      </c>
      <c r="R6" s="190" t="str">
        <f>'H-EK'!E24</f>
        <v/>
      </c>
    </row>
    <row r="7" spans="1:20" s="173" customFormat="1" ht="20.100000000000001" customHeight="1" x14ac:dyDescent="0.2">
      <c r="A7" s="48"/>
      <c r="B7" s="191"/>
      <c r="C7" s="192"/>
      <c r="D7" s="191"/>
      <c r="E7" s="193"/>
      <c r="F7" s="190"/>
      <c r="G7" s="359"/>
      <c r="H7" s="191" t="str">
        <f>'H-BK'!A16</f>
        <v>AB</v>
      </c>
      <c r="I7" s="192" t="str">
        <f t="shared" si="0"/>
        <v>31.12.</v>
      </c>
      <c r="J7" s="361" t="str">
        <f>"S. "&amp;'H-BK'!D11</f>
        <v>S. Kassa</v>
      </c>
      <c r="K7" s="193">
        <f>'H-BK'!F16</f>
        <v>5061.2000000000007</v>
      </c>
      <c r="L7" s="190" t="str">
        <f>'H-BK'!E16</f>
        <v/>
      </c>
      <c r="M7" s="359"/>
      <c r="N7" s="187" t="str">
        <f>'H-EK'!B32</f>
        <v>AB</v>
      </c>
      <c r="O7" s="192" t="str">
        <f>IF(N7="","","31.12.")</f>
        <v>31.12.</v>
      </c>
      <c r="P7" s="361" t="str">
        <f>"S. "&amp;'H-EK'!F27&amp;" ("&amp;'H-EK'!D27&amp;")"</f>
        <v>S.  70200 (Abschreibung Sachanlagevermögen)</v>
      </c>
      <c r="Q7" s="190">
        <f>'H-EK'!F32</f>
        <v>7692.3</v>
      </c>
      <c r="R7" s="190" t="str">
        <f>'H-EK'!E32</f>
        <v/>
      </c>
    </row>
    <row r="8" spans="1:20" s="173" customFormat="1" ht="20.100000000000001" customHeight="1" x14ac:dyDescent="0.2">
      <c r="A8" s="48"/>
      <c r="B8" s="194" t="s">
        <v>66</v>
      </c>
      <c r="C8" s="195" t="s">
        <v>67</v>
      </c>
      <c r="D8" s="194" t="s">
        <v>110</v>
      </c>
      <c r="E8" s="196" t="str">
        <f>IF(SUM(E5:E7)&gt;=SUM(F5:F7),"",F9-SUM(E5:E7))</f>
        <v/>
      </c>
      <c r="F8" s="190">
        <f>IF(SUM(F5:F7)&gt;=SUM(E5:E7),"",E9-SUM(F5:F7))</f>
        <v>12291.3</v>
      </c>
      <c r="G8" s="359"/>
      <c r="H8" s="191" t="str">
        <f>'H-BK'!H24</f>
        <v>AB</v>
      </c>
      <c r="I8" s="192" t="str">
        <f>IF(H8="","","31.12.")</f>
        <v>31.12.</v>
      </c>
      <c r="J8" s="361" t="str">
        <f>"S. "&amp;'H-BK'!J11</f>
        <v>S. Bank - betrieblich 1</v>
      </c>
      <c r="K8" s="193">
        <f>'H-BK'!L24</f>
        <v>236.50000000000364</v>
      </c>
      <c r="L8" s="190" t="str">
        <f>'H-BK'!K24</f>
        <v/>
      </c>
      <c r="M8" s="359"/>
      <c r="N8" s="191" t="str">
        <f>'H-EK'!N32</f>
        <v>AB</v>
      </c>
      <c r="O8" s="192" t="str">
        <f>'H-EK'!O32</f>
        <v>31.12.</v>
      </c>
      <c r="P8" s="361" t="str">
        <f>"S. "&amp;'H-EK'!R27&amp;" ("&amp;'H-EK'!P27&amp;")"</f>
        <v>S.  82800 (Zinsen für Bankkredite)</v>
      </c>
      <c r="Q8" s="193">
        <f>'H-EK'!R32</f>
        <v>558.1</v>
      </c>
      <c r="R8" s="190" t="str">
        <f>'H-EK'!Q32</f>
        <v/>
      </c>
    </row>
    <row r="9" spans="1:20" s="173" customFormat="1" ht="20.100000000000001" customHeight="1" thickBot="1" x14ac:dyDescent="0.25">
      <c r="A9" s="48"/>
      <c r="B9" s="139"/>
      <c r="C9" s="140"/>
      <c r="D9" s="141" t="s">
        <v>111</v>
      </c>
      <c r="E9" s="142">
        <f>IF(SUM(E5:E8)=0,"",SUM(E5:E8))</f>
        <v>12291.3</v>
      </c>
      <c r="F9" s="142">
        <f>IF(SUM(F5:F8)=0,"",SUM(F5:F8))</f>
        <v>12291.3</v>
      </c>
      <c r="H9" s="191" t="str">
        <f>'H-BK'!H32</f>
        <v>AB</v>
      </c>
      <c r="I9" s="192" t="str">
        <f>IF(H9="","","31.12.")</f>
        <v>31.12.</v>
      </c>
      <c r="J9" s="361" t="str">
        <f>"S. "&amp;'H-BK'!J27</f>
        <v>S. Darlehen - betrieblich</v>
      </c>
      <c r="K9" s="193" t="str">
        <f>'H-BK'!L32</f>
        <v/>
      </c>
      <c r="L9" s="190">
        <f>'H-BK'!K32</f>
        <v>7963.7999999999993</v>
      </c>
      <c r="N9" s="191"/>
      <c r="O9" s="192"/>
      <c r="P9" s="361"/>
      <c r="Q9" s="193"/>
      <c r="R9" s="190"/>
      <c r="T9" s="115"/>
    </row>
    <row r="10" spans="1:20" s="173" customFormat="1" ht="20.100000000000001" customHeight="1" thickTop="1" x14ac:dyDescent="0.2">
      <c r="A10" s="48"/>
      <c r="C10" s="197"/>
      <c r="D10" s="116"/>
      <c r="E10" s="198"/>
      <c r="F10" s="198"/>
      <c r="H10" s="191" t="str">
        <f>'H-BK'!N24</f>
        <v>AB</v>
      </c>
      <c r="I10" s="192" t="str">
        <f>IF(H10="","","31.12.")</f>
        <v>31.12.</v>
      </c>
      <c r="J10" s="361" t="str">
        <f>"S. "&amp;'H-BK'!P19</f>
        <v>S. Bestand Vieh</v>
      </c>
      <c r="K10" s="193">
        <f>'H-BK'!R24</f>
        <v>39948.800000000003</v>
      </c>
      <c r="L10" s="190" t="str">
        <f>'H-BK'!Q24</f>
        <v/>
      </c>
      <c r="N10" s="191"/>
      <c r="O10" s="192"/>
      <c r="P10" s="361"/>
      <c r="Q10" s="193"/>
      <c r="R10" s="190"/>
    </row>
    <row r="11" spans="1:20" s="173" customFormat="1" ht="20.100000000000001" customHeight="1" x14ac:dyDescent="0.2">
      <c r="A11" s="48"/>
      <c r="B11" s="219"/>
      <c r="C11" s="220"/>
      <c r="D11" s="221" t="str">
        <f>IF(F11="","",VLOOKUP(F11,KTOPL,2,0))</f>
        <v>Eröffnungsbilanzkonto (EBK)</v>
      </c>
      <c r="E11" s="222" t="s">
        <v>105</v>
      </c>
      <c r="F11" s="223" t="s">
        <v>128</v>
      </c>
      <c r="H11" s="191" t="str">
        <f>'H-BK'!N16</f>
        <v>AB</v>
      </c>
      <c r="I11" s="192" t="str">
        <f>IF(H11="","","31.12.")</f>
        <v>31.12.</v>
      </c>
      <c r="J11" s="361" t="str">
        <f>"S. "&amp;'H-BK'!P11</f>
        <v>S. Selbst erzeugte Vorräte</v>
      </c>
      <c r="K11" s="193">
        <f>'H-BK'!R16</f>
        <v>1488</v>
      </c>
      <c r="L11" s="190" t="str">
        <f>'H-BK'!Q16</f>
        <v/>
      </c>
      <c r="N11" s="191"/>
      <c r="O11" s="192"/>
      <c r="P11" s="361"/>
      <c r="Q11" s="193"/>
      <c r="R11" s="190"/>
    </row>
    <row r="12" spans="1:20" s="173" customFormat="1" ht="20.100000000000001" customHeight="1" x14ac:dyDescent="0.2">
      <c r="A12" s="48"/>
      <c r="B12" s="224" t="s">
        <v>106</v>
      </c>
      <c r="C12" s="225" t="s">
        <v>107</v>
      </c>
      <c r="D12" s="224" t="s">
        <v>11</v>
      </c>
      <c r="E12" s="226" t="s">
        <v>108</v>
      </c>
      <c r="F12" s="226" t="s">
        <v>109</v>
      </c>
      <c r="H12" s="191" t="str">
        <f>'H-BK'!N8</f>
        <v>AB</v>
      </c>
      <c r="I12" s="192" t="str">
        <f>IF(H12="","","31.12.")</f>
        <v>31.12.</v>
      </c>
      <c r="J12" s="361" t="str">
        <f>"S. "&amp;'H-BK'!P3</f>
        <v>S. Zugekaufte Vorräte 20%</v>
      </c>
      <c r="K12" s="193">
        <f>'H-BK'!R8</f>
        <v>3609</v>
      </c>
      <c r="L12" s="190" t="str">
        <f>'H-BK'!Q8</f>
        <v/>
      </c>
      <c r="N12" s="191"/>
      <c r="O12" s="192"/>
      <c r="P12" s="361"/>
      <c r="Q12" s="193"/>
      <c r="R12" s="190"/>
      <c r="T12" s="115"/>
    </row>
    <row r="13" spans="1:20" s="173" customFormat="1" ht="20.100000000000001" customHeight="1" x14ac:dyDescent="0.2">
      <c r="A13" s="48"/>
      <c r="B13" s="187" t="str">
        <f>'H-BK'!A5</f>
        <v>EB</v>
      </c>
      <c r="C13" s="188" t="str">
        <f t="shared" ref="C13:C21" si="2">IF(B13="","","01.01.")</f>
        <v>01.01.</v>
      </c>
      <c r="D13" s="137" t="str">
        <f>'H-BK'!D5</f>
        <v>AB Maschinen</v>
      </c>
      <c r="E13" s="189" t="str">
        <f>IF('H-BK'!F5="","",'H-BK'!F5)</f>
        <v/>
      </c>
      <c r="F13" s="190">
        <f>IF('H-BK'!E5="","",'H-BK'!E5)</f>
        <v>91916.9</v>
      </c>
      <c r="H13" s="191"/>
      <c r="I13" s="192"/>
      <c r="J13" s="361"/>
      <c r="K13" s="193"/>
      <c r="L13" s="190"/>
      <c r="N13" s="194" t="s">
        <v>66</v>
      </c>
      <c r="O13" s="195" t="str">
        <f t="shared" ref="O13" si="3">IF(N13="","","31.12.")</f>
        <v>31.12.</v>
      </c>
      <c r="P13" s="362" t="s">
        <v>110</v>
      </c>
      <c r="Q13" s="196" t="str">
        <f>IF(SUM(Q5:Q12)&gt;=SUM(R5:R12),"",R14-SUM(Q5:Q12))</f>
        <v/>
      </c>
      <c r="R13" s="190">
        <f>IF(SUM(R5:R12)&gt;=SUM(Q5:Q12),"",Q14-SUM(R5:R12))</f>
        <v>3253.2000000000007</v>
      </c>
      <c r="T13" s="115"/>
    </row>
    <row r="14" spans="1:20" s="173" customFormat="1" ht="20.100000000000001" customHeight="1" thickBot="1" x14ac:dyDescent="0.25">
      <c r="A14" s="48"/>
      <c r="B14" s="191" t="str">
        <f>'H-BK'!H5</f>
        <v>EB</v>
      </c>
      <c r="C14" s="192" t="str">
        <f t="shared" si="2"/>
        <v>01.01.</v>
      </c>
      <c r="D14" s="191" t="str">
        <f>'H-BK'!J5</f>
        <v>AB Gebäude</v>
      </c>
      <c r="E14" s="193" t="str">
        <f>IF('H-BK'!L5="","",'H-BK'!L5)</f>
        <v/>
      </c>
      <c r="F14" s="190">
        <f>IF('H-BK'!K5="","",'H-BK'!K5)</f>
        <v>55448.2</v>
      </c>
      <c r="H14" s="191"/>
      <c r="I14" s="192"/>
      <c r="J14" s="361"/>
      <c r="K14" s="193"/>
      <c r="L14" s="190"/>
      <c r="N14" s="139"/>
      <c r="O14" s="140"/>
      <c r="P14" s="141" t="s">
        <v>111</v>
      </c>
      <c r="Q14" s="142">
        <f>IF(SUM(Q5:Q13)=0,"",SUM(Q5:Q13))</f>
        <v>8422.5</v>
      </c>
      <c r="R14" s="142">
        <f>IF(SUM(R5:R13)=0,"",SUM(R5:R13))</f>
        <v>8422.5</v>
      </c>
    </row>
    <row r="15" spans="1:20" s="173" customFormat="1" ht="20.100000000000001" customHeight="1" thickTop="1" x14ac:dyDescent="0.2">
      <c r="A15" s="48"/>
      <c r="B15" s="191" t="str">
        <f>'H-BK'!N21</f>
        <v>EB</v>
      </c>
      <c r="C15" s="192" t="str">
        <f t="shared" si="2"/>
        <v>01.01.</v>
      </c>
      <c r="D15" s="191" t="str">
        <f>'H-BK'!P21</f>
        <v>AB Schafe</v>
      </c>
      <c r="E15" s="193" t="str">
        <f>IF('H-BK'!R21="","",'H-BK'!R21)</f>
        <v/>
      </c>
      <c r="F15" s="190">
        <f>IF('H-BK'!Q21="","",'H-BK'!Q21)</f>
        <v>39445.9</v>
      </c>
      <c r="H15" s="191" t="str">
        <f>IF(J15="","","SB")</f>
        <v/>
      </c>
      <c r="I15" s="192" t="str">
        <f t="shared" ref="I15:I17" si="4">IF(H15="","","31.12.")</f>
        <v/>
      </c>
      <c r="J15" s="361"/>
      <c r="K15" s="193"/>
      <c r="L15" s="190"/>
      <c r="O15" s="197"/>
      <c r="P15" s="116"/>
      <c r="Q15" s="198"/>
      <c r="R15" s="198"/>
    </row>
    <row r="16" spans="1:20" s="173" customFormat="1" ht="20.100000000000001" customHeight="1" x14ac:dyDescent="0.2">
      <c r="A16" s="48"/>
      <c r="B16" s="191" t="str">
        <f>'H-BK'!N13</f>
        <v>EB</v>
      </c>
      <c r="C16" s="192" t="str">
        <f t="shared" si="2"/>
        <v>01.01.</v>
      </c>
      <c r="D16" s="191" t="str">
        <f>'H-BK'!P13</f>
        <v>AB Vorräte selbsterz.</v>
      </c>
      <c r="E16" s="193" t="str">
        <f>IF('H-BK'!R13="","",'H-BK'!R13)</f>
        <v/>
      </c>
      <c r="F16" s="190">
        <f>IF('H-BK'!Q13="","",'H-BK'!Q13)</f>
        <v>2529.6</v>
      </c>
      <c r="H16" s="191"/>
      <c r="I16" s="192"/>
      <c r="J16" s="361"/>
      <c r="K16" s="193"/>
      <c r="L16" s="190"/>
      <c r="N16" s="363" t="str">
        <f>IF(R16="","",VLOOKUP(R16,KTOPL,2,0))</f>
        <v/>
      </c>
      <c r="O16" s="221"/>
      <c r="P16" s="221" t="str">
        <f>IF(R16="","",VLOOKUP(R16,KTOPL,2,0))</f>
        <v/>
      </c>
      <c r="Q16" s="222" t="s">
        <v>105</v>
      </c>
      <c r="R16" s="223"/>
    </row>
    <row r="17" spans="1:18" s="173" customFormat="1" ht="20.100000000000001" customHeight="1" x14ac:dyDescent="0.2">
      <c r="A17" s="48"/>
      <c r="B17" s="191" t="str">
        <f>'H-BK'!N5</f>
        <v>EB</v>
      </c>
      <c r="C17" s="192" t="str">
        <f t="shared" si="2"/>
        <v>01.01.</v>
      </c>
      <c r="D17" s="191" t="str">
        <f>'H-BK'!P5</f>
        <v>AB Vorräte zugekaufte</v>
      </c>
      <c r="E17" s="193" t="str">
        <f>IF('H-BK'!R5="","",'H-BK'!R5)</f>
        <v/>
      </c>
      <c r="F17" s="190">
        <f>IF('H-BK'!Q5="","",'H-BK'!Q5)</f>
        <v>3348.9</v>
      </c>
      <c r="H17" s="191" t="str">
        <f>IF(J17="","","SB")</f>
        <v/>
      </c>
      <c r="I17" s="192" t="str">
        <f t="shared" si="4"/>
        <v/>
      </c>
      <c r="J17" s="361"/>
      <c r="K17" s="193"/>
      <c r="L17" s="190"/>
      <c r="N17" s="224" t="s">
        <v>106</v>
      </c>
      <c r="O17" s="225" t="s">
        <v>107</v>
      </c>
      <c r="P17" s="224" t="s">
        <v>11</v>
      </c>
      <c r="Q17" s="226" t="s">
        <v>108</v>
      </c>
      <c r="R17" s="226" t="s">
        <v>109</v>
      </c>
    </row>
    <row r="18" spans="1:18" s="173" customFormat="1" ht="20.100000000000001" customHeight="1" x14ac:dyDescent="0.2">
      <c r="A18" s="48"/>
      <c r="B18" s="191" t="str">
        <f>'H-BK'!A13</f>
        <v>EB</v>
      </c>
      <c r="C18" s="192" t="str">
        <f t="shared" si="2"/>
        <v>01.01.</v>
      </c>
      <c r="D18" s="191" t="str">
        <f>'H-BK'!D13</f>
        <v>AB Kassa (Bargeld)</v>
      </c>
      <c r="E18" s="193" t="str">
        <f>IF('H-BK'!F13="","",'H-BK'!F13)</f>
        <v/>
      </c>
      <c r="F18" s="190">
        <f>IF('H-BK'!E13="","",'H-BK'!E13)</f>
        <v>558.1</v>
      </c>
      <c r="H18" s="194" t="s">
        <v>66</v>
      </c>
      <c r="I18" s="195" t="str">
        <f>IF(H18="","","31.12.")</f>
        <v>31.12.</v>
      </c>
      <c r="J18" s="194" t="s">
        <v>110</v>
      </c>
      <c r="K18" s="196" t="str">
        <f>IF(SUM(K5:K17)&gt;=SUM(L5:L17),"",L19-SUM(K5:K17))</f>
        <v/>
      </c>
      <c r="L18" s="190">
        <f>IF(SUM(L5:L17)&gt;=SUM(K5:K17),"",K19-SUM(L5:L17))</f>
        <v>195084.7</v>
      </c>
      <c r="N18" s="191"/>
      <c r="O18" s="192"/>
      <c r="P18" s="364"/>
      <c r="Q18" s="193"/>
      <c r="R18" s="190"/>
    </row>
    <row r="19" spans="1:18" s="173" customFormat="1" ht="20.100000000000001" customHeight="1" thickBot="1" x14ac:dyDescent="0.25">
      <c r="A19" s="48"/>
      <c r="B19" s="191" t="str">
        <f>'H-BK'!H13</f>
        <v>EB</v>
      </c>
      <c r="C19" s="192" t="str">
        <f t="shared" si="2"/>
        <v>01.01.</v>
      </c>
      <c r="D19" s="191" t="str">
        <f>'H-BK'!J13</f>
        <v>AB Giro (Bankguthaben)</v>
      </c>
      <c r="E19" s="193" t="str">
        <f>IF('H-BK'!L13="","",'H-BK'!L13)</f>
        <v/>
      </c>
      <c r="F19" s="190">
        <f>IF('H-BK'!K13="","",'H-BK'!K13)</f>
        <v>30708.9</v>
      </c>
      <c r="H19" s="139"/>
      <c r="I19" s="140"/>
      <c r="J19" s="141" t="s">
        <v>111</v>
      </c>
      <c r="K19" s="142">
        <f>IF(SUM(K5:K18)=0,"",SUM(K5:K18))</f>
        <v>203048.5</v>
      </c>
      <c r="L19" s="142">
        <f>IF(SUM(L5:L18)=0,"",SUM(L5:L18))</f>
        <v>203048.5</v>
      </c>
      <c r="N19" s="191"/>
      <c r="O19" s="192"/>
      <c r="P19" s="365"/>
      <c r="Q19" s="193"/>
      <c r="R19" s="190"/>
    </row>
    <row r="20" spans="1:18" s="173" customFormat="1" ht="20.100000000000001" customHeight="1" thickTop="1" x14ac:dyDescent="0.2">
      <c r="A20" s="48"/>
      <c r="B20" s="191" t="str">
        <f>'H-BK'!A29</f>
        <v>EB</v>
      </c>
      <c r="C20" s="192" t="str">
        <f t="shared" si="2"/>
        <v>01.01.</v>
      </c>
      <c r="D20" s="191" t="str">
        <f>'H-BK'!D29</f>
        <v>AB Forderungen
Metzger Müller</v>
      </c>
      <c r="E20" s="193" t="str">
        <f>IF('H-BK'!F29="","",'H-BK'!F29)</f>
        <v/>
      </c>
      <c r="F20" s="190">
        <f>IF('H-BK'!E29="","",'H-BK'!E29)</f>
        <v>967.8</v>
      </c>
      <c r="N20" s="191"/>
      <c r="O20" s="192"/>
      <c r="P20" s="365"/>
      <c r="Q20" s="193"/>
      <c r="R20" s="190"/>
    </row>
    <row r="21" spans="1:18" s="173" customFormat="1" ht="20.100000000000001" customHeight="1" x14ac:dyDescent="0.2">
      <c r="A21" s="48"/>
      <c r="B21" s="191" t="str">
        <f>'H-BK'!N29</f>
        <v>EB</v>
      </c>
      <c r="C21" s="192" t="str">
        <f t="shared" si="2"/>
        <v>01.01.</v>
      </c>
      <c r="D21" s="191" t="str">
        <f>'H-BK'!P29</f>
        <v>AB Verbindlichkeiten Maschinenring Imst</v>
      </c>
      <c r="E21" s="193">
        <f>IF('H-BK'!R29="","",'H-BK'!R29)</f>
        <v>4991.7</v>
      </c>
      <c r="F21" s="190" t="str">
        <f>IF('H-BK'!Q29="","",'H-BK'!Q29)</f>
        <v/>
      </c>
      <c r="H21" s="219"/>
      <c r="I21" s="220"/>
      <c r="J21" s="221" t="str">
        <f>IF(L21="","",VLOOKUP(L21,KTOPL,2,0))</f>
        <v>Kapital</v>
      </c>
      <c r="K21" s="222" t="s">
        <v>105</v>
      </c>
      <c r="L21" s="223" t="s">
        <v>129</v>
      </c>
      <c r="N21" s="194" t="s">
        <v>66</v>
      </c>
      <c r="O21" s="195" t="str">
        <f>IF(N21="","","31.12.")</f>
        <v>31.12.</v>
      </c>
      <c r="P21" s="362" t="s">
        <v>110</v>
      </c>
      <c r="Q21" s="196" t="str">
        <f>IF(SUM(Q18:Q20)&gt;=SUM(R18:R20),"",R22-SUM(Q18:Q20))</f>
        <v/>
      </c>
      <c r="R21" s="190" t="str">
        <f>IF(SUM(R18:R20)&gt;=SUM(Q18:Q20),"",Q22-SUM(R18:R20))</f>
        <v/>
      </c>
    </row>
    <row r="22" spans="1:18" s="173" customFormat="1" ht="20.100000000000001" customHeight="1" thickBot="1" x14ac:dyDescent="0.25">
      <c r="A22" s="48"/>
      <c r="B22" s="191" t="str">
        <f>'H-BK'!H29</f>
        <v>EB</v>
      </c>
      <c r="C22" s="192" t="str">
        <f>'H-BK'!I29</f>
        <v>01.01.</v>
      </c>
      <c r="D22" s="191" t="str">
        <f>'H-BK'!J29</f>
        <v>AB Darlehen</v>
      </c>
      <c r="E22" s="193">
        <f>IF('H-BK'!L29="","",'H-BK'!L29)</f>
        <v>9303.4</v>
      </c>
      <c r="F22" s="191"/>
      <c r="H22" s="224" t="s">
        <v>106</v>
      </c>
      <c r="I22" s="225" t="s">
        <v>107</v>
      </c>
      <c r="J22" s="224" t="s">
        <v>11</v>
      </c>
      <c r="K22" s="226" t="s">
        <v>108</v>
      </c>
      <c r="L22" s="226" t="s">
        <v>109</v>
      </c>
      <c r="N22" s="139"/>
      <c r="O22" s="140"/>
      <c r="P22" s="141" t="s">
        <v>111</v>
      </c>
      <c r="Q22" s="142" t="str">
        <f>IF(SUM(Q18:Q21)=0,"",SUM(Q18:Q21))</f>
        <v/>
      </c>
      <c r="R22" s="142" t="str">
        <f>IF(SUM(R18:R21)=0,"",SUM(R18:R21))</f>
        <v/>
      </c>
    </row>
    <row r="23" spans="1:18" s="173" customFormat="1" ht="20.100000000000001" customHeight="1" thickTop="1" x14ac:dyDescent="0.2">
      <c r="A23" s="48"/>
      <c r="B23" s="191"/>
      <c r="C23" s="192"/>
      <c r="D23" s="191"/>
      <c r="E23" s="193"/>
      <c r="F23" s="190"/>
      <c r="H23" s="187" t="str">
        <f>B29</f>
        <v>AB</v>
      </c>
      <c r="I23" s="188" t="str">
        <f t="shared" ref="I23:I25" si="5">IF(H23="","","31.12.")</f>
        <v>31.12.</v>
      </c>
      <c r="J23" s="360" t="str">
        <f>"S. "&amp;F11&amp;" ("&amp;D11&amp;")"</f>
        <v>S.  98000 (Eröffnungsbilanzkonto (EBK))</v>
      </c>
      <c r="K23" s="190" t="str">
        <f>F29</f>
        <v/>
      </c>
      <c r="L23" s="190">
        <f>E29</f>
        <v>210629.19999999995</v>
      </c>
      <c r="O23" s="197"/>
      <c r="P23" s="116"/>
      <c r="Q23" s="198"/>
      <c r="R23" s="198"/>
    </row>
    <row r="24" spans="1:18" s="173" customFormat="1" ht="20.100000000000001" customHeight="1" x14ac:dyDescent="0.2">
      <c r="A24" s="48"/>
      <c r="B24" s="191"/>
      <c r="C24" s="192"/>
      <c r="D24" s="191"/>
      <c r="E24" s="193"/>
      <c r="F24" s="190"/>
      <c r="H24" s="191" t="str">
        <f>H18</f>
        <v>AB</v>
      </c>
      <c r="I24" s="192" t="str">
        <f t="shared" si="5"/>
        <v>31.12.</v>
      </c>
      <c r="J24" s="361" t="str">
        <f>"S. "&amp;L3&amp;" ("&amp;J3&amp;")"</f>
        <v>S.  98500 (Schlussbilanzkonto (SBK))</v>
      </c>
      <c r="K24" s="193">
        <f>L18</f>
        <v>195084.7</v>
      </c>
      <c r="L24" s="190" t="str">
        <f>K18</f>
        <v/>
      </c>
      <c r="N24" s="363" t="str">
        <f>IF(R24="","",VLOOKUP(R24,KTOPL,2,0))</f>
        <v/>
      </c>
      <c r="O24" s="221"/>
      <c r="P24" s="221" t="str">
        <f>IF(R24="","",VLOOKUP(R24,KTOPL,2,0))</f>
        <v/>
      </c>
      <c r="Q24" s="222" t="s">
        <v>105</v>
      </c>
      <c r="R24" s="223"/>
    </row>
    <row r="25" spans="1:18" s="173" customFormat="1" ht="20.100000000000001" customHeight="1" x14ac:dyDescent="0.2">
      <c r="A25" s="48"/>
      <c r="B25" s="191"/>
      <c r="C25" s="192"/>
      <c r="D25" s="191"/>
      <c r="E25" s="193"/>
      <c r="F25" s="190"/>
      <c r="H25" s="191" t="str">
        <f>B8</f>
        <v>AB</v>
      </c>
      <c r="I25" s="192" t="str">
        <f t="shared" si="5"/>
        <v>31.12.</v>
      </c>
      <c r="J25" s="361" t="str">
        <f>"S. "&amp;F3&amp;" ("&amp;D3&amp;")"</f>
        <v>S.  96000 (Privat)</v>
      </c>
      <c r="K25" s="193">
        <f>F8</f>
        <v>12291.3</v>
      </c>
      <c r="L25" s="190" t="str">
        <f>E8</f>
        <v/>
      </c>
      <c r="N25" s="224" t="s">
        <v>106</v>
      </c>
      <c r="O25" s="225" t="s">
        <v>107</v>
      </c>
      <c r="P25" s="224" t="s">
        <v>11</v>
      </c>
      <c r="Q25" s="226" t="s">
        <v>108</v>
      </c>
      <c r="R25" s="226" t="s">
        <v>109</v>
      </c>
    </row>
    <row r="26" spans="1:18" s="173" customFormat="1" ht="20.100000000000001" customHeight="1" x14ac:dyDescent="0.2">
      <c r="A26" s="48"/>
      <c r="B26" s="191"/>
      <c r="C26" s="192"/>
      <c r="D26" s="191"/>
      <c r="E26" s="193"/>
      <c r="F26" s="190"/>
      <c r="H26" s="191" t="str">
        <f>N13</f>
        <v>AB</v>
      </c>
      <c r="I26" s="192" t="str">
        <f>IF(H26="","","31.12.")</f>
        <v>31.12.</v>
      </c>
      <c r="J26" s="361" t="str">
        <f>"S. "&amp;R3&amp;" ("&amp;P3&amp;")"</f>
        <v>S.  98900 (Gewinn- und Verlustkonto (GuV))</v>
      </c>
      <c r="K26" s="193">
        <f>R13</f>
        <v>3253.2000000000007</v>
      </c>
      <c r="L26" s="190" t="str">
        <f>Q13</f>
        <v/>
      </c>
      <c r="N26" s="191"/>
      <c r="O26" s="192"/>
      <c r="P26" s="364"/>
      <c r="Q26" s="193"/>
      <c r="R26" s="190"/>
    </row>
    <row r="27" spans="1:18" s="173" customFormat="1" ht="20.100000000000001" customHeight="1" x14ac:dyDescent="0.2">
      <c r="A27" s="48"/>
      <c r="B27" s="191"/>
      <c r="C27" s="192"/>
      <c r="D27" s="191"/>
      <c r="E27" s="193"/>
      <c r="F27" s="190"/>
      <c r="H27" s="191"/>
      <c r="I27" s="192"/>
      <c r="J27" s="361"/>
      <c r="K27" s="193"/>
      <c r="L27" s="190"/>
      <c r="N27" s="191"/>
      <c r="O27" s="192"/>
      <c r="P27" s="365"/>
      <c r="Q27" s="193"/>
      <c r="R27" s="190"/>
    </row>
    <row r="28" spans="1:18" s="173" customFormat="1" ht="20.100000000000001" customHeight="1" x14ac:dyDescent="0.2">
      <c r="A28" s="48"/>
      <c r="B28" s="191"/>
      <c r="C28" s="192"/>
      <c r="D28" s="191"/>
      <c r="E28" s="193"/>
      <c r="F28" s="190"/>
      <c r="H28" s="191"/>
      <c r="I28" s="192"/>
      <c r="J28" s="361"/>
      <c r="K28" s="193"/>
      <c r="L28" s="190"/>
      <c r="N28" s="191"/>
      <c r="O28" s="192"/>
      <c r="P28" s="365"/>
      <c r="Q28" s="193"/>
      <c r="R28" s="190"/>
    </row>
    <row r="29" spans="1:18" s="173" customFormat="1" ht="20.100000000000001" customHeight="1" x14ac:dyDescent="0.2">
      <c r="A29" s="48"/>
      <c r="B29" s="194" t="s">
        <v>66</v>
      </c>
      <c r="C29" s="195" t="str">
        <f t="shared" ref="C29" si="6">IF(B29="","","1.1.")</f>
        <v>1.1.</v>
      </c>
      <c r="D29" s="194" t="s">
        <v>110</v>
      </c>
      <c r="E29" s="196">
        <f>IF(SUM(E13:E28)&gt;=SUM(F13:F28),"",F30-SUM(E13:E28))</f>
        <v>210629.19999999995</v>
      </c>
      <c r="F29" s="190" t="str">
        <f>IF(SUM(F13:F28)&gt;=SUM(E13:E28),"",E30-SUM(F13:F28))</f>
        <v/>
      </c>
      <c r="H29" s="194"/>
      <c r="I29" s="195"/>
      <c r="J29" s="366"/>
      <c r="K29" s="196"/>
      <c r="L29" s="190"/>
      <c r="N29" s="194" t="s">
        <v>66</v>
      </c>
      <c r="O29" s="195" t="str">
        <f>IF(N29="","","31.12.")</f>
        <v>31.12.</v>
      </c>
      <c r="P29" s="362" t="s">
        <v>110</v>
      </c>
      <c r="Q29" s="196" t="str">
        <f>IF(SUM(Q26:Q28)&gt;=SUM(R26:R28),"",R30-SUM(Q26:Q28))</f>
        <v/>
      </c>
      <c r="R29" s="190" t="str">
        <f>IF(SUM(R26:R28)&gt;=SUM(Q26:Q28),"",Q30-SUM(R26:R28))</f>
        <v/>
      </c>
    </row>
    <row r="30" spans="1:18" s="173" customFormat="1" ht="20.100000000000001" customHeight="1" thickBot="1" x14ac:dyDescent="0.25">
      <c r="A30" s="48"/>
      <c r="B30" s="139"/>
      <c r="C30" s="140"/>
      <c r="D30" s="141" t="s">
        <v>111</v>
      </c>
      <c r="E30" s="142">
        <f>IF(SUM(E13:E29)=0,"",SUM(E13:E29))</f>
        <v>224924.29999999996</v>
      </c>
      <c r="F30" s="142">
        <f>IF(SUM(F13:F29)=0,"",SUM(F13:F29))</f>
        <v>224924.29999999996</v>
      </c>
      <c r="H30" s="139"/>
      <c r="I30" s="140"/>
      <c r="J30" s="141" t="s">
        <v>111</v>
      </c>
      <c r="K30" s="142">
        <f>IF(SUM(K23:K29)=0,"",SUM(K23:K29))</f>
        <v>210629.2</v>
      </c>
      <c r="L30" s="142">
        <f>IF(SUM(L23:L29)=0,"",SUM(L23:L29))</f>
        <v>210629.19999999995</v>
      </c>
      <c r="N30" s="139"/>
      <c r="O30" s="140"/>
      <c r="P30" s="141" t="s">
        <v>111</v>
      </c>
      <c r="Q30" s="142" t="str">
        <f>IF(SUM(Q26:Q29)=0,"",SUM(Q26:Q29))</f>
        <v/>
      </c>
      <c r="R30" s="142" t="str">
        <f>IF(SUM(R26:R29)=0,"",SUM(R26:R29))</f>
        <v/>
      </c>
    </row>
    <row r="31" spans="1:18" s="173" customFormat="1" ht="20.100000000000001" customHeight="1" thickTop="1" x14ac:dyDescent="0.25">
      <c r="A31" s="48"/>
      <c r="B31"/>
      <c r="C31"/>
      <c r="D31"/>
      <c r="E31"/>
      <c r="F31"/>
      <c r="I31" s="197"/>
      <c r="J31" s="116"/>
      <c r="K31" s="198"/>
      <c r="L31" s="198"/>
      <c r="O31" s="197"/>
      <c r="P31" s="116"/>
      <c r="Q31" s="198"/>
      <c r="R31" s="198"/>
    </row>
    <row r="32" spans="1:18" s="173" customFormat="1" ht="20.100000000000001" hidden="1" customHeight="1" x14ac:dyDescent="0.25">
      <c r="A32" s="48"/>
      <c r="B32"/>
      <c r="C32"/>
      <c r="D32"/>
      <c r="E32"/>
      <c r="F32"/>
      <c r="I32" s="197"/>
      <c r="J32" s="116"/>
      <c r="K32" s="198"/>
      <c r="L32" s="198"/>
      <c r="O32" s="197"/>
      <c r="P32" s="116"/>
      <c r="Q32" s="198"/>
      <c r="R32" s="198"/>
    </row>
    <row r="33" spans="1:18" s="173" customFormat="1" ht="12.75" hidden="1" customHeight="1" x14ac:dyDescent="0.2">
      <c r="A33" s="48"/>
      <c r="C33" s="197"/>
      <c r="D33" s="116"/>
      <c r="E33" s="198"/>
      <c r="F33" s="198"/>
      <c r="I33" s="197"/>
      <c r="J33" s="116"/>
      <c r="K33" s="198"/>
      <c r="L33" s="198"/>
      <c r="O33" s="197"/>
      <c r="P33" s="116"/>
      <c r="Q33" s="198"/>
      <c r="R33" s="198"/>
    </row>
    <row r="34" spans="1:18" s="173" customFormat="1" ht="12.75" hidden="1" customHeight="1" x14ac:dyDescent="0.2">
      <c r="A34" s="48"/>
      <c r="C34" s="197"/>
      <c r="D34" s="116"/>
      <c r="E34" s="198"/>
      <c r="F34" s="198"/>
      <c r="I34" s="197"/>
      <c r="J34" s="116"/>
      <c r="K34" s="198"/>
      <c r="L34" s="198"/>
      <c r="O34" s="197"/>
      <c r="P34" s="116"/>
      <c r="Q34" s="198"/>
      <c r="R34" s="198"/>
    </row>
    <row r="35" spans="1:18" s="173" customFormat="1" ht="12.75" hidden="1" customHeight="1" x14ac:dyDescent="0.2">
      <c r="A35" s="48"/>
      <c r="C35" s="197"/>
      <c r="D35" s="116"/>
      <c r="E35" s="198"/>
      <c r="F35" s="198"/>
      <c r="I35" s="197"/>
      <c r="J35" s="116"/>
      <c r="K35" s="198"/>
      <c r="L35" s="198"/>
      <c r="O35" s="197"/>
      <c r="P35" s="116"/>
      <c r="Q35" s="198"/>
      <c r="R35" s="198"/>
    </row>
    <row r="36" spans="1:18" s="173" customFormat="1" ht="12.75" hidden="1" customHeight="1" x14ac:dyDescent="0.2">
      <c r="A36" s="48"/>
      <c r="C36" s="197"/>
      <c r="D36" s="116"/>
      <c r="E36" s="198"/>
      <c r="F36" s="198"/>
      <c r="I36" s="197"/>
      <c r="J36" s="116"/>
      <c r="K36" s="198"/>
      <c r="L36" s="198"/>
      <c r="O36" s="197"/>
      <c r="P36" s="116"/>
      <c r="Q36" s="198"/>
      <c r="R36" s="198"/>
    </row>
    <row r="37" spans="1:18" s="173" customFormat="1" ht="12.75" hidden="1" customHeight="1" x14ac:dyDescent="0.2">
      <c r="A37" s="48"/>
      <c r="C37" s="197"/>
      <c r="D37" s="116"/>
      <c r="E37" s="198"/>
      <c r="F37" s="198"/>
      <c r="I37" s="197"/>
      <c r="J37" s="116"/>
      <c r="K37" s="198"/>
      <c r="L37" s="198"/>
      <c r="O37" s="197"/>
      <c r="P37" s="116"/>
      <c r="Q37" s="198"/>
      <c r="R37" s="198"/>
    </row>
    <row r="38" spans="1:18" s="173" customFormat="1" ht="12.75" hidden="1" customHeight="1" x14ac:dyDescent="0.2">
      <c r="A38" s="48"/>
      <c r="C38" s="197"/>
      <c r="D38" s="116"/>
      <c r="E38" s="198"/>
      <c r="F38" s="198"/>
      <c r="I38" s="197"/>
      <c r="J38" s="116"/>
      <c r="K38" s="198"/>
      <c r="L38" s="198"/>
      <c r="O38" s="197"/>
      <c r="P38" s="116"/>
      <c r="Q38" s="198"/>
      <c r="R38" s="198"/>
    </row>
    <row r="39" spans="1:18" s="173" customFormat="1" ht="12.75" hidden="1" customHeight="1" x14ac:dyDescent="0.2">
      <c r="A39" s="48"/>
      <c r="C39" s="197"/>
      <c r="D39" s="116"/>
      <c r="E39" s="198"/>
      <c r="F39" s="198"/>
      <c r="I39" s="197"/>
      <c r="J39" s="116"/>
      <c r="K39" s="198"/>
      <c r="L39" s="198"/>
      <c r="O39" s="197"/>
      <c r="P39" s="116"/>
      <c r="Q39" s="198"/>
      <c r="R39" s="198"/>
    </row>
    <row r="40" spans="1:18" s="173" customFormat="1" ht="12.75" hidden="1" customHeight="1" thickBot="1" x14ac:dyDescent="0.25">
      <c r="A40" s="48"/>
      <c r="B40" s="162" t="s">
        <v>130</v>
      </c>
      <c r="C40" s="163"/>
      <c r="D40" s="164"/>
      <c r="E40" s="165"/>
      <c r="F40" s="165"/>
      <c r="G40" s="163"/>
      <c r="H40" s="163"/>
      <c r="I40" s="166"/>
      <c r="J40" s="163"/>
      <c r="K40" s="163"/>
      <c r="L40" s="198"/>
      <c r="O40" s="197"/>
      <c r="P40" s="116"/>
      <c r="Q40" s="198"/>
      <c r="R40" s="198"/>
    </row>
    <row r="41" spans="1:18" s="173" customFormat="1" ht="12.75" hidden="1" customHeight="1" x14ac:dyDescent="0.2">
      <c r="A41" s="48"/>
      <c r="B41" s="167">
        <v>1</v>
      </c>
      <c r="C41" s="46" t="str">
        <f>IF(D41="","",MID(D41,1,FIND(": ",D41,1)-1)&amp;K41)</f>
        <v xml:space="preserve"> 96000Wohnhausumbau</v>
      </c>
      <c r="D41" s="46" t="str">
        <f>IF(OR($F$3="",AND(E5="",F5="")),"",CONCATENATE($F$3,": ",IF(D5="","",D5&amp;", "),IF(E5="","xxxx",TEXT(E5,"# ##0,-")),", ",IF(F5="","xxxx",TEXT(F5,"# ##0,-"))))</f>
        <v xml:space="preserve"> 96000: Wohnhausumbau, 10 793,-, xxxx</v>
      </c>
      <c r="E41" s="168"/>
      <c r="F41" s="168"/>
      <c r="G41" s="46"/>
      <c r="H41" s="46"/>
      <c r="I41" s="169"/>
      <c r="J41" s="46"/>
      <c r="K41" s="46" t="str">
        <f>IF(D5="","",MID(D5,1,15))</f>
        <v>Wohnhausumbau</v>
      </c>
      <c r="L41" s="198"/>
      <c r="O41" s="197"/>
      <c r="P41" s="116"/>
      <c r="Q41" s="198"/>
      <c r="R41" s="198"/>
    </row>
    <row r="42" spans="1:18" s="173" customFormat="1" ht="12.75" hidden="1" customHeight="1" x14ac:dyDescent="0.2">
      <c r="A42" s="48"/>
      <c r="B42" s="170">
        <v>2</v>
      </c>
      <c r="C42" s="46" t="str">
        <f t="shared" ref="C42:C105" si="7">IF(D42="","",MID(D42,1,FIND(": ",D42,1)-1)&amp;K42)</f>
        <v xml:space="preserve"> 96000Eigenverbrauch </v>
      </c>
      <c r="D42" s="46" t="str">
        <f>IF(OR($F$3="",AND(E6="",F6="")),"",CONCATENATE($F$3,": ",IF(D6="","",D6&amp;", "),IF(E6="","xxxx",TEXT(E6,"# ##0,-")),", ",IF(F6="","xxxx",TEXT(F6,"# ##0,-"))))</f>
        <v xml:space="preserve"> 96000: Eigenverbrauch Schafmilchprodukte, 1 499,-, xxxx</v>
      </c>
      <c r="E42" s="171"/>
      <c r="F42" s="171"/>
      <c r="G42" s="47"/>
      <c r="H42" s="47"/>
      <c r="I42" s="172"/>
      <c r="J42" s="47"/>
      <c r="K42" s="46" t="str">
        <f>IF(D6="","",MID(D6,1,15))</f>
        <v xml:space="preserve">Eigenverbrauch </v>
      </c>
      <c r="L42" s="198"/>
      <c r="O42" s="197"/>
      <c r="P42" s="116"/>
      <c r="Q42" s="198"/>
      <c r="R42" s="198"/>
    </row>
    <row r="43" spans="1:18" s="173" customFormat="1" ht="12.75" hidden="1" customHeight="1" x14ac:dyDescent="0.2">
      <c r="A43" s="48"/>
      <c r="B43" s="170">
        <v>3</v>
      </c>
      <c r="C43" s="46" t="str">
        <f t="shared" si="7"/>
        <v/>
      </c>
      <c r="D43" s="46" t="str">
        <f>IF(OR($F$3="",AND(E7="",F7="")),"",CONCATENATE($F$3,": ",IF(D7="","",D7&amp;", "),IF(E7="","xxxx",TEXT(E7,"# ##0,-")),", ",IF(F7="","xxxx",TEXT(F7,"# ##0,-"))))</f>
        <v/>
      </c>
      <c r="E43" s="171"/>
      <c r="F43" s="171"/>
      <c r="G43" s="47"/>
      <c r="H43" s="47"/>
      <c r="I43" s="172"/>
      <c r="J43" s="47"/>
      <c r="K43" s="46" t="str">
        <f>IF(D7="","",MID(D7,1,15))</f>
        <v/>
      </c>
      <c r="L43" s="198"/>
      <c r="O43" s="197"/>
      <c r="P43" s="116"/>
      <c r="Q43" s="198"/>
      <c r="R43" s="198"/>
    </row>
    <row r="44" spans="1:18" s="173" customFormat="1" ht="12.75" hidden="1" customHeight="1" x14ac:dyDescent="0.2">
      <c r="A44" s="48"/>
      <c r="B44" s="170">
        <v>4</v>
      </c>
      <c r="C44" s="46" t="str">
        <f t="shared" si="7"/>
        <v xml:space="preserve"> 96000SALDO</v>
      </c>
      <c r="D44" s="46" t="str">
        <f>IF(OR($F$3="",AND(E8="",F8="")),"",CONCATENATE($F$3,": ",IF(D8="","",D8&amp;", "),IF(E8="","xxxx",TEXT(E8,"# ##0,-")),", ",IF(F8="","xxxx",TEXT(F8,"# ##0,-"))))</f>
        <v xml:space="preserve"> 96000: SALDO, xxxx, 12 291,-</v>
      </c>
      <c r="E44" s="171"/>
      <c r="F44" s="171"/>
      <c r="G44" s="47"/>
      <c r="H44" s="47"/>
      <c r="I44" s="172"/>
      <c r="J44" s="47"/>
      <c r="K44" s="46" t="str">
        <f>IF(D8="","",MID(D8,1,15))</f>
        <v>SALDO</v>
      </c>
      <c r="L44" s="198"/>
      <c r="O44" s="197"/>
      <c r="P44" s="116"/>
      <c r="Q44" s="198"/>
      <c r="R44" s="198"/>
    </row>
    <row r="45" spans="1:18" s="173" customFormat="1" ht="12.75" hidden="1" customHeight="1" x14ac:dyDescent="0.2">
      <c r="A45" s="48"/>
      <c r="B45" s="170">
        <v>5</v>
      </c>
      <c r="C45" s="46" t="str">
        <f t="shared" si="7"/>
        <v xml:space="preserve"> 96000Summe</v>
      </c>
      <c r="D45" s="46" t="str">
        <f>IF(OR($F$3="",AND(E9="",F9="")),"",CONCATENATE($F$3,": ",IF(D9="","",D9&amp;", "),IF(E9="","xxxx",TEXT(E9,"# ##0,-")),", ",IF(F9="","xxxx",TEXT(F9,"# ##0,-"))))</f>
        <v xml:space="preserve"> 96000: Summe, 12 291,-, 12 291,-</v>
      </c>
      <c r="E45" s="171"/>
      <c r="F45" s="171"/>
      <c r="G45" s="47"/>
      <c r="H45" s="47"/>
      <c r="I45" s="172"/>
      <c r="J45" s="47"/>
      <c r="K45" s="46" t="str">
        <f>IF(D9="","",MID(D9,1,15))</f>
        <v>Summe</v>
      </c>
      <c r="L45" s="198"/>
      <c r="O45" s="197"/>
      <c r="P45" s="116"/>
      <c r="Q45" s="198"/>
      <c r="R45" s="198"/>
    </row>
    <row r="46" spans="1:18" s="173" customFormat="1" ht="12.75" hidden="1" customHeight="1" x14ac:dyDescent="0.2">
      <c r="A46" s="48"/>
      <c r="B46" s="170">
        <v>6</v>
      </c>
      <c r="C46" s="46" t="str">
        <f>IF(D46="","",MID(D46,1,FIND(": ",D46,1)-1)&amp;K46)</f>
        <v xml:space="preserve"> 98000AB Maschinen</v>
      </c>
      <c r="D46" s="46" t="str">
        <f t="shared" ref="D46:D62" si="8">IF(OR($F$11="",AND(E13="",F13="")),"",CONCATENATE($F$11,": ",IF(D13="","",D13&amp;", "),IF(E13="","xxxx",TEXT(E13,"# ##0,-")),", ",IF(F13="","xxxx",TEXT(F13,"# ##0,-"))))</f>
        <v xml:space="preserve"> 98000: AB Maschinen, xxxx, 91 917,-</v>
      </c>
      <c r="E46" s="171"/>
      <c r="F46" s="171"/>
      <c r="G46" s="47"/>
      <c r="H46" s="47"/>
      <c r="I46" s="172"/>
      <c r="J46" s="47"/>
      <c r="K46" s="46" t="str">
        <f t="shared" ref="K46:K63" si="9">IF(D13="","",MID(D13,1,15))</f>
        <v>AB Maschinen</v>
      </c>
      <c r="L46" s="198"/>
      <c r="O46" s="197"/>
      <c r="P46" s="116"/>
      <c r="Q46" s="198"/>
      <c r="R46" s="198"/>
    </row>
    <row r="47" spans="1:18" s="173" customFormat="1" ht="12.75" hidden="1" customHeight="1" x14ac:dyDescent="0.2">
      <c r="A47" s="48"/>
      <c r="B47" s="170">
        <v>7</v>
      </c>
      <c r="C47" s="46" t="str">
        <f t="shared" ref="C47:C63" si="10">IF(D47="","",MID(D47,1,FIND(": ",D47,1)-1)&amp;K47)</f>
        <v xml:space="preserve"> 98000AB Gebäude</v>
      </c>
      <c r="D47" s="46" t="str">
        <f t="shared" si="8"/>
        <v xml:space="preserve"> 98000: AB Gebäude, xxxx, 55 448,-</v>
      </c>
      <c r="E47" s="171"/>
      <c r="F47" s="171"/>
      <c r="G47" s="47"/>
      <c r="H47" s="47"/>
      <c r="I47" s="172"/>
      <c r="J47" s="47"/>
      <c r="K47" s="46" t="str">
        <f t="shared" si="9"/>
        <v>AB Gebäude</v>
      </c>
      <c r="L47" s="198"/>
      <c r="O47" s="197"/>
      <c r="P47" s="116"/>
      <c r="Q47" s="198"/>
      <c r="R47" s="198"/>
    </row>
    <row r="48" spans="1:18" s="173" customFormat="1" ht="12.75" hidden="1" customHeight="1" x14ac:dyDescent="0.2">
      <c r="A48" s="48"/>
      <c r="B48" s="170">
        <v>8</v>
      </c>
      <c r="C48" s="46" t="str">
        <f t="shared" si="10"/>
        <v xml:space="preserve"> 98000AB Schafe</v>
      </c>
      <c r="D48" s="46" t="str">
        <f t="shared" si="8"/>
        <v xml:space="preserve"> 98000: AB Schafe, xxxx, 39 446,-</v>
      </c>
      <c r="E48" s="171"/>
      <c r="F48" s="171"/>
      <c r="G48" s="47"/>
      <c r="H48" s="47"/>
      <c r="I48" s="172"/>
      <c r="J48" s="47"/>
      <c r="K48" s="46" t="str">
        <f t="shared" si="9"/>
        <v>AB Schafe</v>
      </c>
      <c r="L48" s="198"/>
      <c r="O48" s="197"/>
      <c r="P48" s="116"/>
      <c r="Q48" s="198"/>
      <c r="R48" s="198"/>
    </row>
    <row r="49" spans="1:18" s="173" customFormat="1" ht="12.75" hidden="1" customHeight="1" x14ac:dyDescent="0.2">
      <c r="A49" s="48"/>
      <c r="B49" s="170">
        <v>9</v>
      </c>
      <c r="C49" s="46" t="str">
        <f t="shared" si="10"/>
        <v xml:space="preserve"> 98000AB Vorräte selb</v>
      </c>
      <c r="D49" s="46" t="str">
        <f t="shared" si="8"/>
        <v xml:space="preserve"> 98000: AB Vorräte selbsterz., xxxx, 2 530,-</v>
      </c>
      <c r="E49" s="171"/>
      <c r="F49" s="171"/>
      <c r="G49" s="47"/>
      <c r="H49" s="47"/>
      <c r="I49" s="172"/>
      <c r="J49" s="47"/>
      <c r="K49" s="46" t="str">
        <f t="shared" si="9"/>
        <v>AB Vorräte selb</v>
      </c>
      <c r="L49" s="198"/>
      <c r="O49" s="197"/>
      <c r="P49" s="116"/>
      <c r="Q49" s="198"/>
      <c r="R49" s="198"/>
    </row>
    <row r="50" spans="1:18" s="173" customFormat="1" ht="12.75" hidden="1" customHeight="1" x14ac:dyDescent="0.2">
      <c r="A50" s="48"/>
      <c r="B50" s="170">
        <v>10</v>
      </c>
      <c r="C50" s="46" t="str">
        <f t="shared" si="10"/>
        <v xml:space="preserve"> 98000AB Vorräte zuge</v>
      </c>
      <c r="D50" s="46" t="str">
        <f t="shared" si="8"/>
        <v xml:space="preserve"> 98000: AB Vorräte zugekaufte, xxxx, 3 349,-</v>
      </c>
      <c r="E50" s="171"/>
      <c r="F50" s="171"/>
      <c r="G50" s="47"/>
      <c r="H50" s="47"/>
      <c r="I50" s="172"/>
      <c r="J50" s="47"/>
      <c r="K50" s="46" t="str">
        <f t="shared" si="9"/>
        <v>AB Vorräte zuge</v>
      </c>
      <c r="L50" s="198"/>
      <c r="O50" s="197"/>
      <c r="P50" s="116"/>
      <c r="Q50" s="198"/>
      <c r="R50" s="198"/>
    </row>
    <row r="51" spans="1:18" s="173" customFormat="1" ht="12.75" hidden="1" customHeight="1" x14ac:dyDescent="0.2">
      <c r="A51" s="48"/>
      <c r="B51" s="170">
        <v>11</v>
      </c>
      <c r="C51" s="46" t="str">
        <f t="shared" si="10"/>
        <v xml:space="preserve"> 98000AB Kassa (Barge</v>
      </c>
      <c r="D51" s="46" t="str">
        <f t="shared" si="8"/>
        <v xml:space="preserve"> 98000: AB Kassa (Bargeld), xxxx, 558,-</v>
      </c>
      <c r="E51" s="171"/>
      <c r="F51" s="171"/>
      <c r="G51" s="47"/>
      <c r="H51" s="47"/>
      <c r="I51" s="172"/>
      <c r="J51" s="47"/>
      <c r="K51" s="46" t="str">
        <f t="shared" si="9"/>
        <v>AB Kassa (Barge</v>
      </c>
      <c r="L51" s="198"/>
      <c r="O51" s="197"/>
      <c r="P51" s="116"/>
      <c r="Q51" s="198"/>
      <c r="R51" s="198"/>
    </row>
    <row r="52" spans="1:18" s="173" customFormat="1" ht="12.75" hidden="1" customHeight="1" x14ac:dyDescent="0.2">
      <c r="A52" s="48"/>
      <c r="B52" s="170">
        <v>12</v>
      </c>
      <c r="C52" s="46" t="str">
        <f t="shared" si="10"/>
        <v xml:space="preserve"> 98000AB Giro (Bankgu</v>
      </c>
      <c r="D52" s="46" t="str">
        <f t="shared" si="8"/>
        <v xml:space="preserve"> 98000: AB Giro (Bankguthaben), xxxx, 30 709,-</v>
      </c>
      <c r="E52" s="171"/>
      <c r="F52" s="171"/>
      <c r="G52" s="47"/>
      <c r="H52" s="47"/>
      <c r="I52" s="172"/>
      <c r="J52" s="47"/>
      <c r="K52" s="46" t="str">
        <f t="shared" si="9"/>
        <v>AB Giro (Bankgu</v>
      </c>
      <c r="L52" s="198"/>
      <c r="O52" s="197"/>
      <c r="P52" s="116"/>
      <c r="Q52" s="198"/>
      <c r="R52" s="198"/>
    </row>
    <row r="53" spans="1:18" s="173" customFormat="1" ht="12.75" hidden="1" customHeight="1" x14ac:dyDescent="0.2">
      <c r="A53" s="48"/>
      <c r="B53" s="170">
        <v>13</v>
      </c>
      <c r="C53" s="46" t="str">
        <f t="shared" si="10"/>
        <v xml:space="preserve"> 98000AB Forderungen
</v>
      </c>
      <c r="D53" s="46" t="str">
        <f t="shared" si="8"/>
        <v xml:space="preserve"> 98000: AB Forderungen
Metzger Müller, xxxx, 968,-</v>
      </c>
      <c r="E53" s="171"/>
      <c r="F53" s="171"/>
      <c r="G53" s="47"/>
      <c r="H53" s="47"/>
      <c r="I53" s="172"/>
      <c r="J53" s="47"/>
      <c r="K53" s="46" t="str">
        <f t="shared" si="9"/>
        <v xml:space="preserve">AB Forderungen
</v>
      </c>
      <c r="L53" s="198"/>
      <c r="O53" s="197"/>
      <c r="P53" s="116"/>
      <c r="Q53" s="198"/>
      <c r="R53" s="198"/>
    </row>
    <row r="54" spans="1:18" s="173" customFormat="1" ht="12.75" hidden="1" customHeight="1" x14ac:dyDescent="0.2">
      <c r="A54" s="48"/>
      <c r="B54" s="170">
        <v>14</v>
      </c>
      <c r="C54" s="46" t="str">
        <f t="shared" si="10"/>
        <v xml:space="preserve"> 98000AB Verbindlichk</v>
      </c>
      <c r="D54" s="46" t="str">
        <f t="shared" si="8"/>
        <v xml:space="preserve"> 98000: AB Verbindlichkeiten Maschinenring Imst, 4 992,-, xxxx</v>
      </c>
      <c r="E54" s="171"/>
      <c r="F54" s="171"/>
      <c r="G54" s="47"/>
      <c r="H54" s="47"/>
      <c r="I54" s="172"/>
      <c r="J54" s="47"/>
      <c r="K54" s="46" t="str">
        <f t="shared" si="9"/>
        <v>AB Verbindlichk</v>
      </c>
      <c r="L54" s="198"/>
      <c r="O54" s="197"/>
      <c r="P54" s="116"/>
      <c r="Q54" s="198"/>
      <c r="R54" s="198"/>
    </row>
    <row r="55" spans="1:18" s="173" customFormat="1" ht="12.75" hidden="1" customHeight="1" x14ac:dyDescent="0.2">
      <c r="A55" s="48"/>
      <c r="B55" s="170">
        <v>15</v>
      </c>
      <c r="C55" s="46" t="str">
        <f t="shared" si="10"/>
        <v xml:space="preserve"> 98000AB Darlehen</v>
      </c>
      <c r="D55" s="46" t="str">
        <f t="shared" si="8"/>
        <v xml:space="preserve"> 98000: AB Darlehen, 9 303,-, xxxx</v>
      </c>
      <c r="E55" s="171"/>
      <c r="F55" s="171"/>
      <c r="G55" s="47"/>
      <c r="H55" s="47"/>
      <c r="I55" s="172"/>
      <c r="J55" s="47"/>
      <c r="K55" s="46" t="str">
        <f t="shared" si="9"/>
        <v>AB Darlehen</v>
      </c>
      <c r="L55" s="198"/>
      <c r="O55" s="197"/>
      <c r="P55" s="116"/>
      <c r="Q55" s="198"/>
      <c r="R55" s="198"/>
    </row>
    <row r="56" spans="1:18" s="173" customFormat="1" ht="12.75" hidden="1" customHeight="1" x14ac:dyDescent="0.2">
      <c r="A56" s="48"/>
      <c r="B56" s="170">
        <v>16</v>
      </c>
      <c r="C56" s="46" t="str">
        <f t="shared" si="10"/>
        <v/>
      </c>
      <c r="D56" s="46" t="str">
        <f t="shared" si="8"/>
        <v/>
      </c>
      <c r="E56" s="171"/>
      <c r="F56" s="171"/>
      <c r="G56" s="47"/>
      <c r="H56" s="47"/>
      <c r="I56" s="172"/>
      <c r="J56" s="47"/>
      <c r="K56" s="46" t="str">
        <f t="shared" si="9"/>
        <v/>
      </c>
      <c r="L56" s="198"/>
      <c r="O56" s="197"/>
      <c r="P56" s="116"/>
      <c r="Q56" s="198"/>
      <c r="R56" s="198"/>
    </row>
    <row r="57" spans="1:18" s="173" customFormat="1" ht="12.75" hidden="1" customHeight="1" x14ac:dyDescent="0.2">
      <c r="A57" s="48"/>
      <c r="B57" s="170">
        <v>17</v>
      </c>
      <c r="C57" s="46" t="str">
        <f t="shared" si="10"/>
        <v/>
      </c>
      <c r="D57" s="46" t="str">
        <f t="shared" si="8"/>
        <v/>
      </c>
      <c r="E57" s="171"/>
      <c r="F57" s="171"/>
      <c r="G57" s="47"/>
      <c r="H57" s="47"/>
      <c r="I57" s="172"/>
      <c r="J57" s="47"/>
      <c r="K57" s="46" t="str">
        <f t="shared" si="9"/>
        <v/>
      </c>
      <c r="L57" s="198"/>
      <c r="O57" s="197"/>
      <c r="P57" s="116"/>
      <c r="Q57" s="198"/>
      <c r="R57" s="198"/>
    </row>
    <row r="58" spans="1:18" s="173" customFormat="1" ht="12.75" hidden="1" customHeight="1" x14ac:dyDescent="0.2">
      <c r="A58" s="48"/>
      <c r="B58" s="170">
        <v>18</v>
      </c>
      <c r="C58" s="46" t="str">
        <f t="shared" si="10"/>
        <v/>
      </c>
      <c r="D58" s="46" t="str">
        <f t="shared" si="8"/>
        <v/>
      </c>
      <c r="E58" s="171"/>
      <c r="F58" s="171"/>
      <c r="G58" s="47"/>
      <c r="H58" s="47"/>
      <c r="I58" s="172"/>
      <c r="J58" s="47"/>
      <c r="K58" s="46" t="str">
        <f t="shared" si="9"/>
        <v/>
      </c>
      <c r="L58" s="198"/>
      <c r="O58" s="197"/>
      <c r="P58" s="116"/>
      <c r="Q58" s="198"/>
      <c r="R58" s="198"/>
    </row>
    <row r="59" spans="1:18" s="173" customFormat="1" ht="12.75" hidden="1" customHeight="1" x14ac:dyDescent="0.2">
      <c r="A59" s="48"/>
      <c r="B59" s="170">
        <v>19</v>
      </c>
      <c r="C59" s="46" t="str">
        <f t="shared" si="10"/>
        <v/>
      </c>
      <c r="D59" s="46" t="str">
        <f t="shared" si="8"/>
        <v/>
      </c>
      <c r="E59" s="171"/>
      <c r="F59" s="171"/>
      <c r="G59" s="47"/>
      <c r="H59" s="47"/>
      <c r="I59" s="172"/>
      <c r="J59" s="47"/>
      <c r="K59" s="46" t="str">
        <f t="shared" si="9"/>
        <v/>
      </c>
      <c r="L59" s="198"/>
      <c r="O59" s="197"/>
      <c r="P59" s="116"/>
      <c r="Q59" s="198"/>
      <c r="R59" s="198"/>
    </row>
    <row r="60" spans="1:18" s="173" customFormat="1" ht="12.75" hidden="1" customHeight="1" x14ac:dyDescent="0.2">
      <c r="A60" s="48"/>
      <c r="B60" s="170">
        <v>20</v>
      </c>
      <c r="C60" s="46" t="str">
        <f t="shared" si="10"/>
        <v/>
      </c>
      <c r="D60" s="46" t="str">
        <f t="shared" si="8"/>
        <v/>
      </c>
      <c r="E60" s="171"/>
      <c r="F60" s="171"/>
      <c r="G60" s="47"/>
      <c r="H60" s="47"/>
      <c r="I60" s="172"/>
      <c r="J60" s="47"/>
      <c r="K60" s="46" t="str">
        <f t="shared" si="9"/>
        <v/>
      </c>
      <c r="L60" s="198"/>
      <c r="O60" s="197"/>
      <c r="P60" s="116"/>
      <c r="Q60" s="198"/>
      <c r="R60" s="198"/>
    </row>
    <row r="61" spans="1:18" s="173" customFormat="1" ht="12.75" hidden="1" customHeight="1" x14ac:dyDescent="0.2">
      <c r="A61" s="48"/>
      <c r="B61" s="170">
        <v>21</v>
      </c>
      <c r="C61" s="46" t="str">
        <f t="shared" si="10"/>
        <v/>
      </c>
      <c r="D61" s="46" t="str">
        <f t="shared" si="8"/>
        <v/>
      </c>
      <c r="E61" s="171"/>
      <c r="F61" s="171"/>
      <c r="G61" s="47"/>
      <c r="H61" s="47"/>
      <c r="I61" s="172"/>
      <c r="J61" s="47"/>
      <c r="K61" s="46" t="str">
        <f t="shared" si="9"/>
        <v/>
      </c>
      <c r="L61" s="198"/>
      <c r="O61" s="197"/>
      <c r="P61" s="116"/>
      <c r="Q61" s="198"/>
      <c r="R61" s="198"/>
    </row>
    <row r="62" spans="1:18" s="173" customFormat="1" ht="12.75" hidden="1" customHeight="1" x14ac:dyDescent="0.2">
      <c r="A62" s="48"/>
      <c r="B62" s="170">
        <v>22</v>
      </c>
      <c r="C62" s="46" t="str">
        <f t="shared" si="10"/>
        <v xml:space="preserve"> 98000SALDO</v>
      </c>
      <c r="D62" s="46" t="str">
        <f t="shared" si="8"/>
        <v xml:space="preserve"> 98000: SALDO, 210 629,-, xxxx</v>
      </c>
      <c r="E62" s="171"/>
      <c r="F62" s="171"/>
      <c r="G62" s="47"/>
      <c r="H62" s="47"/>
      <c r="I62" s="172"/>
      <c r="J62" s="47"/>
      <c r="K62" s="46" t="str">
        <f t="shared" si="9"/>
        <v>SALDO</v>
      </c>
      <c r="L62" s="198"/>
      <c r="O62" s="197"/>
      <c r="P62" s="116"/>
      <c r="Q62" s="198"/>
      <c r="R62" s="198"/>
    </row>
    <row r="63" spans="1:18" s="173" customFormat="1" ht="12.75" hidden="1" customHeight="1" x14ac:dyDescent="0.2">
      <c r="A63" s="48"/>
      <c r="B63" s="170">
        <v>23</v>
      </c>
      <c r="C63" s="46" t="str">
        <f t="shared" si="10"/>
        <v xml:space="preserve"> 98000Summe</v>
      </c>
      <c r="D63" s="46" t="str">
        <f>IF(OR($F$11="",AND(E30="",F30="")),"",CONCATENATE($F$11,": ",IF(D30="","",D30&amp;", "),IF(E30="","xxxx",TEXT(E30,"# ##0,-")),", ",IF(F30="","xxxx",TEXT(F30,"# ##0,-"))))</f>
        <v xml:space="preserve"> 98000: Summe, 224 924,-, 224 924,-</v>
      </c>
      <c r="E63" s="171"/>
      <c r="F63" s="171"/>
      <c r="G63" s="47"/>
      <c r="H63" s="47"/>
      <c r="I63" s="172"/>
      <c r="J63" s="47"/>
      <c r="K63" s="46" t="str">
        <f t="shared" si="9"/>
        <v>Summe</v>
      </c>
      <c r="L63" s="198"/>
      <c r="O63" s="197"/>
      <c r="P63" s="116"/>
      <c r="Q63" s="198"/>
      <c r="R63" s="198"/>
    </row>
    <row r="64" spans="1:18" s="173" customFormat="1" ht="12.75" hidden="1" customHeight="1" x14ac:dyDescent="0.2">
      <c r="A64" s="48"/>
      <c r="B64" s="170">
        <v>24</v>
      </c>
      <c r="C64" s="46" t="str">
        <f>IF(D64="","",MID(D64,1,FIND(": ",D64,1)-1)&amp;K64)</f>
        <v xml:space="preserve"> 98500S. Maschinen un</v>
      </c>
      <c r="D64" s="47" t="str">
        <f t="shared" ref="D64:D76" si="11">IF(OR($L$3="",AND(K5="",L5="")),"",CONCATENATE($L$3,": ",IF(J5="","",J5&amp;", "),IF(K5="","xxxx",TEXT(K5,"# ##0,-")),", ",IF(L5="","xxxx",TEXT(L5,"# ##0,-"))))</f>
        <v xml:space="preserve"> 98500: S. Maschinen und Geräte, 101 525,-, xxxx</v>
      </c>
      <c r="E64" s="171"/>
      <c r="F64" s="171"/>
      <c r="G64" s="47"/>
      <c r="H64" s="47"/>
      <c r="I64" s="172"/>
      <c r="J64" s="47"/>
      <c r="K64" s="46" t="str">
        <f t="shared" ref="K64:K76" si="12">IF(J5="","",MID(J5,1,15))</f>
        <v>S. Maschinen un</v>
      </c>
      <c r="L64" s="198"/>
      <c r="O64" s="197"/>
      <c r="P64" s="116"/>
      <c r="Q64" s="198"/>
      <c r="R64" s="198"/>
    </row>
    <row r="65" spans="1:18" s="173" customFormat="1" ht="12.75" hidden="1" customHeight="1" x14ac:dyDescent="0.2">
      <c r="A65" s="48"/>
      <c r="B65" s="170">
        <v>25</v>
      </c>
      <c r="C65" s="46" t="str">
        <f t="shared" ref="C65:C76" si="13">IF(D65="","",MID(D65,1,FIND(": ",D65,1)-1)&amp;K65)</f>
        <v xml:space="preserve"> 98500S. Betriebs- un</v>
      </c>
      <c r="D65" s="47" t="str">
        <f t="shared" si="11"/>
        <v xml:space="preserve"> 98500: S. Betriebs- und Geschäftsgebäude, 51 180,-, xxxx</v>
      </c>
      <c r="E65" s="171"/>
      <c r="F65" s="171"/>
      <c r="G65" s="47"/>
      <c r="H65" s="47"/>
      <c r="I65" s="172"/>
      <c r="J65" s="47"/>
      <c r="K65" s="46" t="str">
        <f t="shared" si="12"/>
        <v>S. Betriebs- un</v>
      </c>
      <c r="L65" s="198"/>
      <c r="O65" s="197"/>
      <c r="P65" s="116"/>
      <c r="Q65" s="198"/>
      <c r="R65" s="198"/>
    </row>
    <row r="66" spans="1:18" s="173" customFormat="1" ht="12.75" hidden="1" customHeight="1" x14ac:dyDescent="0.2">
      <c r="A66" s="48"/>
      <c r="B66" s="170">
        <v>26</v>
      </c>
      <c r="C66" s="46" t="str">
        <f t="shared" si="13"/>
        <v xml:space="preserve"> 98500S. Kassa</v>
      </c>
      <c r="D66" s="47" t="str">
        <f t="shared" si="11"/>
        <v xml:space="preserve"> 98500: S. Kassa, 5 061,-, xxxx</v>
      </c>
      <c r="E66" s="171"/>
      <c r="F66" s="171"/>
      <c r="G66" s="47"/>
      <c r="H66" s="47"/>
      <c r="I66" s="172"/>
      <c r="J66" s="47"/>
      <c r="K66" s="46" t="str">
        <f t="shared" si="12"/>
        <v>S. Kassa</v>
      </c>
      <c r="L66" s="198"/>
      <c r="O66" s="197"/>
      <c r="P66" s="116"/>
      <c r="Q66" s="198"/>
      <c r="R66" s="198"/>
    </row>
    <row r="67" spans="1:18" s="173" customFormat="1" ht="12.75" hidden="1" customHeight="1" x14ac:dyDescent="0.2">
      <c r="A67" s="48"/>
      <c r="B67" s="170">
        <v>27</v>
      </c>
      <c r="C67" s="46" t="str">
        <f t="shared" si="13"/>
        <v xml:space="preserve"> 98500S. Bank - betri</v>
      </c>
      <c r="D67" s="47" t="str">
        <f t="shared" si="11"/>
        <v xml:space="preserve"> 98500: S. Bank - betrieblich 1, 237,-, xxxx</v>
      </c>
      <c r="E67" s="171"/>
      <c r="F67" s="171"/>
      <c r="G67" s="47"/>
      <c r="H67" s="47"/>
      <c r="I67" s="172"/>
      <c r="J67" s="47"/>
      <c r="K67" s="46" t="str">
        <f t="shared" si="12"/>
        <v>S. Bank - betri</v>
      </c>
      <c r="L67" s="198"/>
      <c r="O67" s="197"/>
      <c r="P67" s="116"/>
      <c r="Q67" s="198"/>
      <c r="R67" s="198"/>
    </row>
    <row r="68" spans="1:18" s="173" customFormat="1" ht="12.75" hidden="1" customHeight="1" x14ac:dyDescent="0.2">
      <c r="A68" s="48"/>
      <c r="B68" s="170">
        <v>28</v>
      </c>
      <c r="C68" s="46" t="str">
        <f t="shared" si="13"/>
        <v xml:space="preserve"> 98500S. Darlehen - b</v>
      </c>
      <c r="D68" s="47" t="str">
        <f t="shared" si="11"/>
        <v xml:space="preserve"> 98500: S. Darlehen - betrieblich, xxxx, 7 964,-</v>
      </c>
      <c r="E68" s="171"/>
      <c r="F68" s="171"/>
      <c r="G68" s="47"/>
      <c r="H68" s="47"/>
      <c r="I68" s="172"/>
      <c r="J68" s="47"/>
      <c r="K68" s="46" t="str">
        <f t="shared" si="12"/>
        <v>S. Darlehen - b</v>
      </c>
      <c r="L68" s="198"/>
      <c r="O68" s="197"/>
      <c r="P68" s="116"/>
      <c r="Q68" s="198"/>
      <c r="R68" s="198"/>
    </row>
    <row r="69" spans="1:18" s="173" customFormat="1" ht="12.75" hidden="1" customHeight="1" x14ac:dyDescent="0.2">
      <c r="A69" s="48"/>
      <c r="B69" s="170">
        <v>29</v>
      </c>
      <c r="C69" s="46" t="str">
        <f t="shared" si="13"/>
        <v xml:space="preserve"> 98500S. Bestand Vieh</v>
      </c>
      <c r="D69" s="47" t="str">
        <f t="shared" si="11"/>
        <v xml:space="preserve"> 98500: S. Bestand Vieh, 39 949,-, xxxx</v>
      </c>
      <c r="E69" s="171"/>
      <c r="F69" s="171"/>
      <c r="G69" s="47"/>
      <c r="H69" s="47"/>
      <c r="I69" s="172"/>
      <c r="J69" s="47"/>
      <c r="K69" s="46" t="str">
        <f t="shared" si="12"/>
        <v>S. Bestand Vieh</v>
      </c>
      <c r="L69" s="198"/>
      <c r="O69" s="197"/>
      <c r="P69" s="116"/>
      <c r="Q69" s="198"/>
      <c r="R69" s="198"/>
    </row>
    <row r="70" spans="1:18" s="173" customFormat="1" ht="12.75" hidden="1" customHeight="1" x14ac:dyDescent="0.2">
      <c r="A70" s="48"/>
      <c r="B70" s="170">
        <v>30</v>
      </c>
      <c r="C70" s="46" t="str">
        <f t="shared" si="13"/>
        <v xml:space="preserve"> 98500S. Selbst erzeu</v>
      </c>
      <c r="D70" s="47" t="str">
        <f t="shared" si="11"/>
        <v xml:space="preserve"> 98500: S. Selbst erzeugte Vorräte, 1 488,-, xxxx</v>
      </c>
      <c r="E70" s="171"/>
      <c r="F70" s="171"/>
      <c r="G70" s="47"/>
      <c r="H70" s="47"/>
      <c r="I70" s="172"/>
      <c r="J70" s="47"/>
      <c r="K70" s="46" t="str">
        <f t="shared" si="12"/>
        <v>S. Selbst erzeu</v>
      </c>
      <c r="L70" s="198"/>
      <c r="O70" s="197"/>
      <c r="P70" s="116"/>
      <c r="Q70" s="198"/>
      <c r="R70" s="198"/>
    </row>
    <row r="71" spans="1:18" s="173" customFormat="1" ht="12.75" hidden="1" customHeight="1" x14ac:dyDescent="0.2">
      <c r="A71" s="48"/>
      <c r="B71" s="170">
        <v>31</v>
      </c>
      <c r="C71" s="46" t="str">
        <f t="shared" si="13"/>
        <v xml:space="preserve"> 98500S. Zugekaufte V</v>
      </c>
      <c r="D71" s="47" t="str">
        <f t="shared" si="11"/>
        <v xml:space="preserve"> 98500: S. Zugekaufte Vorräte 20%, 3 609,-, xxxx</v>
      </c>
      <c r="E71" s="171"/>
      <c r="F71" s="171"/>
      <c r="G71" s="47"/>
      <c r="H71" s="47"/>
      <c r="I71" s="172"/>
      <c r="J71" s="47"/>
      <c r="K71" s="46" t="str">
        <f t="shared" si="12"/>
        <v>S. Zugekaufte V</v>
      </c>
      <c r="L71" s="198"/>
      <c r="O71" s="197"/>
      <c r="P71" s="116"/>
      <c r="Q71" s="198"/>
      <c r="R71" s="198"/>
    </row>
    <row r="72" spans="1:18" s="173" customFormat="1" ht="12.75" hidden="1" customHeight="1" x14ac:dyDescent="0.2">
      <c r="A72" s="48"/>
      <c r="B72" s="170">
        <v>32</v>
      </c>
      <c r="C72" s="46" t="str">
        <f t="shared" si="13"/>
        <v/>
      </c>
      <c r="D72" s="47" t="str">
        <f t="shared" si="11"/>
        <v/>
      </c>
      <c r="E72" s="171"/>
      <c r="F72" s="171"/>
      <c r="G72" s="47"/>
      <c r="H72" s="47"/>
      <c r="I72" s="172"/>
      <c r="J72" s="47"/>
      <c r="K72" s="46" t="str">
        <f t="shared" si="12"/>
        <v/>
      </c>
      <c r="L72" s="198"/>
      <c r="O72" s="197"/>
      <c r="P72" s="116"/>
      <c r="Q72" s="198"/>
      <c r="R72" s="198"/>
    </row>
    <row r="73" spans="1:18" s="173" customFormat="1" ht="12.75" hidden="1" customHeight="1" x14ac:dyDescent="0.2">
      <c r="A73" s="48"/>
      <c r="B73" s="170">
        <v>33</v>
      </c>
      <c r="C73" s="46" t="str">
        <f t="shared" si="13"/>
        <v/>
      </c>
      <c r="D73" s="47" t="str">
        <f t="shared" si="11"/>
        <v/>
      </c>
      <c r="E73" s="171"/>
      <c r="F73" s="171"/>
      <c r="G73" s="47"/>
      <c r="H73" s="47"/>
      <c r="I73" s="172"/>
      <c r="J73" s="47"/>
      <c r="K73" s="46" t="str">
        <f t="shared" si="12"/>
        <v/>
      </c>
      <c r="L73" s="198"/>
      <c r="O73" s="197"/>
      <c r="P73" s="116"/>
      <c r="Q73" s="198"/>
      <c r="R73" s="198"/>
    </row>
    <row r="74" spans="1:18" s="173" customFormat="1" ht="12.75" hidden="1" customHeight="1" x14ac:dyDescent="0.2">
      <c r="A74" s="48"/>
      <c r="B74" s="170">
        <v>34</v>
      </c>
      <c r="C74" s="46" t="str">
        <f t="shared" si="13"/>
        <v/>
      </c>
      <c r="D74" s="47" t="str">
        <f t="shared" si="11"/>
        <v/>
      </c>
      <c r="E74" s="171"/>
      <c r="F74" s="171"/>
      <c r="G74" s="47"/>
      <c r="H74" s="47"/>
      <c r="I74" s="172"/>
      <c r="J74" s="47"/>
      <c r="K74" s="46" t="str">
        <f t="shared" si="12"/>
        <v/>
      </c>
      <c r="L74" s="198"/>
      <c r="O74" s="197"/>
      <c r="P74" s="116"/>
      <c r="Q74" s="198"/>
      <c r="R74" s="198"/>
    </row>
    <row r="75" spans="1:18" s="173" customFormat="1" ht="12.75" hidden="1" customHeight="1" x14ac:dyDescent="0.2">
      <c r="A75" s="48"/>
      <c r="B75" s="170">
        <v>35</v>
      </c>
      <c r="C75" s="46" t="str">
        <f t="shared" si="13"/>
        <v/>
      </c>
      <c r="D75" s="47" t="str">
        <f t="shared" si="11"/>
        <v/>
      </c>
      <c r="E75" s="171"/>
      <c r="F75" s="171"/>
      <c r="G75" s="47"/>
      <c r="H75" s="47"/>
      <c r="I75" s="172"/>
      <c r="J75" s="47"/>
      <c r="K75" s="46" t="str">
        <f t="shared" si="12"/>
        <v/>
      </c>
      <c r="L75" s="198"/>
      <c r="O75" s="197"/>
      <c r="P75" s="116"/>
      <c r="Q75" s="198"/>
      <c r="R75" s="198"/>
    </row>
    <row r="76" spans="1:18" s="173" customFormat="1" ht="12.75" hidden="1" customHeight="1" x14ac:dyDescent="0.2">
      <c r="A76" s="48"/>
      <c r="B76" s="170">
        <v>36</v>
      </c>
      <c r="C76" s="46" t="str">
        <f t="shared" si="13"/>
        <v/>
      </c>
      <c r="D76" s="47" t="str">
        <f t="shared" si="11"/>
        <v/>
      </c>
      <c r="E76" s="171"/>
      <c r="F76" s="171"/>
      <c r="G76" s="47"/>
      <c r="H76" s="47"/>
      <c r="I76" s="172"/>
      <c r="J76" s="47"/>
      <c r="K76" s="46" t="str">
        <f t="shared" si="12"/>
        <v/>
      </c>
      <c r="L76" s="198"/>
      <c r="O76" s="197"/>
      <c r="P76" s="116"/>
      <c r="Q76" s="198"/>
      <c r="R76" s="198"/>
    </row>
    <row r="77" spans="1:18" s="173" customFormat="1" ht="12.75" hidden="1" customHeight="1" x14ac:dyDescent="0.2">
      <c r="A77" s="48"/>
      <c r="B77" s="170">
        <v>37</v>
      </c>
      <c r="C77" s="46" t="str">
        <f t="shared" ref="C77:C84" si="14">IF(D77="","",MID(D77,1,FIND(": ",D77,1)-1)&amp;K77)</f>
        <v xml:space="preserve"> 98500SALDO</v>
      </c>
      <c r="D77" s="47" t="str">
        <f>IF(OR($L$3="",AND(K18="",L18="")),"",CONCATENATE($L$3,": ",IF(J18="","",J18&amp;", "),IF(K18="","xxxx",TEXT(K18,"# ##0,-")),", ",IF(L18="","xxxx",TEXT(L18,"# ##0,-"))))</f>
        <v xml:space="preserve"> 98500: SALDO, xxxx, 195 085,-</v>
      </c>
      <c r="E77" s="171"/>
      <c r="F77" s="171"/>
      <c r="G77" s="47"/>
      <c r="H77" s="47"/>
      <c r="I77" s="172"/>
      <c r="J77" s="47"/>
      <c r="K77" s="46" t="str">
        <f>IF(J18="","",MID(J18,1,15))</f>
        <v>SALDO</v>
      </c>
      <c r="L77" s="198"/>
      <c r="O77" s="197"/>
      <c r="P77" s="116"/>
      <c r="Q77" s="198"/>
      <c r="R77" s="198"/>
    </row>
    <row r="78" spans="1:18" s="173" customFormat="1" ht="12.75" hidden="1" customHeight="1" x14ac:dyDescent="0.2">
      <c r="A78" s="48"/>
      <c r="B78" s="170">
        <v>38</v>
      </c>
      <c r="C78" s="46" t="str">
        <f t="shared" si="14"/>
        <v xml:space="preserve"> 98500Summe</v>
      </c>
      <c r="D78" s="47" t="str">
        <f>IF(OR($L$3="",AND(K19="",L19="")),"",CONCATENATE($L$3,": ",IF(J19="","",J19&amp;", "),IF(K19="","xxxx",TEXT(K19,"# ##0,-")),", ",IF(L19="","xxxx",TEXT(L19,"# ##0,-"))))</f>
        <v xml:space="preserve"> 98500: Summe, 203 049,-, 203 049,-</v>
      </c>
      <c r="E78" s="171"/>
      <c r="F78" s="171"/>
      <c r="G78" s="47"/>
      <c r="H78" s="47"/>
      <c r="I78" s="172"/>
      <c r="J78" s="47"/>
      <c r="K78" s="46" t="str">
        <f>IF(J19="","",MID(J19,1,15))</f>
        <v>Summe</v>
      </c>
      <c r="L78" s="198"/>
      <c r="O78" s="197"/>
      <c r="P78" s="116"/>
      <c r="Q78" s="198"/>
      <c r="R78" s="198"/>
    </row>
    <row r="79" spans="1:18" s="173" customFormat="1" ht="12.75" hidden="1" customHeight="1" x14ac:dyDescent="0.2">
      <c r="A79" s="48"/>
      <c r="B79" s="170">
        <v>39</v>
      </c>
      <c r="C79" s="46" t="str">
        <f t="shared" si="14"/>
        <v xml:space="preserve"> 90000S.  98000 (Eröf</v>
      </c>
      <c r="D79" s="47" t="str">
        <f t="shared" ref="D79:D86" si="15">IF(OR($L$21="",AND(K23="",L23="")),"",CONCATENATE($L$21,": ",IF(H23="","",H23&amp;", "),IF(I23="","",I23&amp;", "),IF(J23="","",J23&amp;", "),IF(K23="","xxxx",TEXT(K23,"# ##0,-")),", ",IF(L23="","xxxx",TEXT(L23,"# ##0,-"))))</f>
        <v xml:space="preserve"> 90000: AB, 31.12., S.  98000 (Eröffnungsbilanzkonto (EBK)), xxxx, 210 629,-</v>
      </c>
      <c r="E79" s="171"/>
      <c r="F79" s="171"/>
      <c r="G79" s="47"/>
      <c r="H79" s="47"/>
      <c r="I79" s="172"/>
      <c r="J79" s="47"/>
      <c r="K79" s="46" t="str">
        <f t="shared" ref="K79:K84" si="16">IF(J23="","",MID(J23,1,15))</f>
        <v>S.  98000 (Eröf</v>
      </c>
      <c r="L79" s="198"/>
      <c r="O79" s="197"/>
      <c r="P79" s="116"/>
      <c r="Q79" s="198"/>
      <c r="R79" s="198"/>
    </row>
    <row r="80" spans="1:18" s="173" customFormat="1" ht="12.75" hidden="1" customHeight="1" x14ac:dyDescent="0.2">
      <c r="A80" s="48"/>
      <c r="B80" s="170">
        <v>55</v>
      </c>
      <c r="C80" s="46" t="str">
        <f t="shared" si="14"/>
        <v xml:space="preserve"> 90000S.  98500 (Schl</v>
      </c>
      <c r="D80" s="47" t="str">
        <f t="shared" si="15"/>
        <v xml:space="preserve"> 90000: AB, 31.12., S.  98500 (Schlussbilanzkonto (SBK)), 195 085,-, xxxx</v>
      </c>
      <c r="E80" s="171"/>
      <c r="F80" s="171"/>
      <c r="G80" s="47"/>
      <c r="H80" s="47"/>
      <c r="I80" s="172"/>
      <c r="J80" s="47"/>
      <c r="K80" s="46" t="str">
        <f t="shared" si="16"/>
        <v>S.  98500 (Schl</v>
      </c>
      <c r="L80" s="198"/>
      <c r="O80" s="197"/>
      <c r="P80" s="116"/>
      <c r="Q80" s="198"/>
      <c r="R80" s="198"/>
    </row>
    <row r="81" spans="1:18" s="173" customFormat="1" ht="12.75" hidden="1" customHeight="1" x14ac:dyDescent="0.2">
      <c r="A81" s="48"/>
      <c r="B81" s="170">
        <v>56</v>
      </c>
      <c r="C81" s="46" t="str">
        <f t="shared" si="14"/>
        <v xml:space="preserve"> 90000S.  96000 (Priv</v>
      </c>
      <c r="D81" s="47" t="str">
        <f t="shared" si="15"/>
        <v xml:space="preserve"> 90000: AB, 31.12., S.  96000 (Privat), 12 291,-, xxxx</v>
      </c>
      <c r="E81" s="171"/>
      <c r="F81" s="171"/>
      <c r="G81" s="47"/>
      <c r="H81" s="47"/>
      <c r="I81" s="172"/>
      <c r="J81" s="47"/>
      <c r="K81" s="46" t="str">
        <f t="shared" si="16"/>
        <v>S.  96000 (Priv</v>
      </c>
      <c r="L81" s="198"/>
      <c r="O81" s="197"/>
      <c r="P81" s="116"/>
      <c r="Q81" s="198"/>
      <c r="R81" s="198"/>
    </row>
    <row r="82" spans="1:18" s="173" customFormat="1" ht="12.75" hidden="1" customHeight="1" x14ac:dyDescent="0.2">
      <c r="A82" s="48"/>
      <c r="B82" s="170">
        <v>57</v>
      </c>
      <c r="C82" s="46" t="str">
        <f t="shared" si="14"/>
        <v xml:space="preserve"> 90000S.  98900 (Gewi</v>
      </c>
      <c r="D82" s="47" t="str">
        <f t="shared" si="15"/>
        <v xml:space="preserve"> 90000: AB, 31.12., S.  98900 (Gewinn- und Verlustkonto (GuV)), 3 253,-, xxxx</v>
      </c>
      <c r="E82" s="171"/>
      <c r="F82" s="171"/>
      <c r="G82" s="47"/>
      <c r="H82" s="47"/>
      <c r="I82" s="172"/>
      <c r="J82" s="47"/>
      <c r="K82" s="46" t="str">
        <f t="shared" si="16"/>
        <v>S.  98900 (Gewi</v>
      </c>
      <c r="L82" s="198"/>
      <c r="O82" s="197"/>
      <c r="P82" s="116"/>
      <c r="Q82" s="198"/>
      <c r="R82" s="198"/>
    </row>
    <row r="83" spans="1:18" s="173" customFormat="1" ht="12.75" hidden="1" customHeight="1" x14ac:dyDescent="0.2">
      <c r="A83" s="48"/>
      <c r="B83" s="170">
        <v>58</v>
      </c>
      <c r="C83" s="46" t="str">
        <f t="shared" si="14"/>
        <v/>
      </c>
      <c r="D83" s="47" t="str">
        <f t="shared" si="15"/>
        <v/>
      </c>
      <c r="E83" s="171"/>
      <c r="F83" s="171"/>
      <c r="G83" s="47"/>
      <c r="H83" s="47"/>
      <c r="I83" s="172"/>
      <c r="J83" s="47"/>
      <c r="K83" s="46" t="str">
        <f t="shared" si="16"/>
        <v/>
      </c>
      <c r="L83" s="198"/>
      <c r="O83" s="197"/>
      <c r="P83" s="116"/>
      <c r="Q83" s="198"/>
      <c r="R83" s="198"/>
    </row>
    <row r="84" spans="1:18" s="173" customFormat="1" ht="12.75" hidden="1" customHeight="1" x14ac:dyDescent="0.2">
      <c r="A84" s="48"/>
      <c r="B84" s="170">
        <v>59</v>
      </c>
      <c r="C84" s="46" t="str">
        <f t="shared" si="14"/>
        <v/>
      </c>
      <c r="D84" s="47" t="str">
        <f t="shared" si="15"/>
        <v/>
      </c>
      <c r="E84" s="171"/>
      <c r="F84" s="171"/>
      <c r="G84" s="47"/>
      <c r="H84" s="47"/>
      <c r="I84" s="172"/>
      <c r="J84" s="47"/>
      <c r="K84" s="46" t="str">
        <f t="shared" si="16"/>
        <v/>
      </c>
      <c r="L84" s="198"/>
      <c r="O84" s="197"/>
      <c r="P84" s="116"/>
      <c r="Q84" s="198"/>
      <c r="R84" s="198"/>
    </row>
    <row r="85" spans="1:18" s="173" customFormat="1" ht="12.75" hidden="1" customHeight="1" x14ac:dyDescent="0.2">
      <c r="A85" s="48"/>
      <c r="B85" s="170">
        <v>60</v>
      </c>
      <c r="C85" s="46" t="str">
        <f t="shared" ref="C85:C86" si="17">IF(D85="","",MID(D85,1,FIND(": ",D85,1)-1)&amp;K85)</f>
        <v/>
      </c>
      <c r="D85" s="47" t="str">
        <f t="shared" si="15"/>
        <v/>
      </c>
      <c r="E85" s="171"/>
      <c r="F85" s="171"/>
      <c r="G85" s="47"/>
      <c r="H85" s="47"/>
      <c r="I85" s="172"/>
      <c r="J85" s="47"/>
      <c r="K85" s="46" t="str">
        <f t="shared" ref="K85:K86" si="18">IF(J29="","",MID(J29,1,15))</f>
        <v/>
      </c>
      <c r="L85" s="198"/>
      <c r="O85" s="197"/>
      <c r="P85" s="116"/>
      <c r="Q85" s="198"/>
      <c r="R85" s="198"/>
    </row>
    <row r="86" spans="1:18" s="173" customFormat="1" ht="12.75" hidden="1" customHeight="1" x14ac:dyDescent="0.2">
      <c r="A86" s="48"/>
      <c r="B86" s="170">
        <v>61</v>
      </c>
      <c r="C86" s="46" t="str">
        <f t="shared" si="17"/>
        <v xml:space="preserve"> 90000Summe</v>
      </c>
      <c r="D86" s="47" t="str">
        <f t="shared" si="15"/>
        <v xml:space="preserve"> 90000: Summe, 210 629,-, 210 629,-</v>
      </c>
      <c r="E86" s="171"/>
      <c r="F86" s="171"/>
      <c r="G86" s="47"/>
      <c r="H86" s="47"/>
      <c r="I86" s="172"/>
      <c r="J86" s="47"/>
      <c r="K86" s="46" t="str">
        <f t="shared" si="18"/>
        <v>Summe</v>
      </c>
      <c r="L86" s="198"/>
      <c r="O86" s="197"/>
      <c r="P86" s="116"/>
      <c r="Q86" s="198"/>
      <c r="R86" s="198"/>
    </row>
    <row r="87" spans="1:18" s="173" customFormat="1" ht="12.75" hidden="1" customHeight="1" x14ac:dyDescent="0.2">
      <c r="A87" s="48"/>
      <c r="B87" s="170">
        <v>40</v>
      </c>
      <c r="C87" s="46" t="str">
        <f>IF(D87="","",MID(D87,1,FIND(": ",D87,1)-1)&amp;K87)</f>
        <v xml:space="preserve"> 98900S.  41400 (Einn</v>
      </c>
      <c r="D87" s="47" t="str">
        <f t="shared" ref="D87:D96" si="19">IF(OR($R$3="",AND(Q5="",R5="")),"",CONCATENATE($R$3,": ",IF(N5="","",N5&amp;", "),IF(O5="","",O5&amp;", "),IF(P5="","",P5&amp;", "),IF(Q5="","xxxx",TEXT(Q5,"# ##0,-")),", ",IF(R5="","xxxx",TEXT(R5,"# ##0,-"))))</f>
        <v xml:space="preserve"> 98900: AB, 31.12., S.  41400 (Einnahmen Schafe), xxxx, 5 169,-</v>
      </c>
      <c r="E87" s="171"/>
      <c r="F87" s="171"/>
      <c r="G87" s="47"/>
      <c r="H87" s="47"/>
      <c r="I87" s="172"/>
      <c r="J87" s="47"/>
      <c r="K87" s="46" t="str">
        <f t="shared" ref="K87:K96" si="20">IF(P5="","",MID(P5,1,15))</f>
        <v>S.  41400 (Einn</v>
      </c>
      <c r="L87" s="198"/>
      <c r="O87" s="197"/>
      <c r="P87" s="116"/>
      <c r="Q87" s="198"/>
      <c r="R87" s="198"/>
    </row>
    <row r="88" spans="1:18" s="173" customFormat="1" ht="12.75" hidden="1" customHeight="1" x14ac:dyDescent="0.2">
      <c r="A88" s="48"/>
      <c r="B88" s="170">
        <v>41</v>
      </c>
      <c r="C88" s="46" t="str">
        <f t="shared" ref="C88:C96" si="21">IF(D88="","",MID(D88,1,FIND(": ",D88,1)-1)&amp;K88)</f>
        <v xml:space="preserve"> 98900S.  56015 (Trei</v>
      </c>
      <c r="D88" s="47" t="str">
        <f t="shared" si="19"/>
        <v xml:space="preserve"> 98900: AB, 31.12., S.  56015 (Treibstoff Diesel), 172,-, xxxx</v>
      </c>
      <c r="E88" s="171"/>
      <c r="F88" s="171"/>
      <c r="G88" s="47"/>
      <c r="H88" s="47"/>
      <c r="I88" s="172"/>
      <c r="J88" s="47"/>
      <c r="K88" s="46" t="str">
        <f t="shared" si="20"/>
        <v>S.  56015 (Trei</v>
      </c>
      <c r="L88" s="198"/>
      <c r="O88" s="197"/>
      <c r="P88" s="116"/>
      <c r="Q88" s="198"/>
      <c r="R88" s="198"/>
    </row>
    <row r="89" spans="1:18" s="173" customFormat="1" ht="12.75" hidden="1" customHeight="1" x14ac:dyDescent="0.2">
      <c r="A89" s="48"/>
      <c r="B89" s="170">
        <v>42</v>
      </c>
      <c r="C89" s="46" t="str">
        <f t="shared" si="21"/>
        <v xml:space="preserve"> 98900S.  70200 (Absc</v>
      </c>
      <c r="D89" s="47" t="str">
        <f t="shared" si="19"/>
        <v xml:space="preserve"> 98900: AB, 31.12., S.  70200 (Abschreibung Sachanlagevermögen), 7 692,-, xxxx</v>
      </c>
      <c r="E89" s="171"/>
      <c r="F89" s="171"/>
      <c r="G89" s="47"/>
      <c r="H89" s="47"/>
      <c r="I89" s="172"/>
      <c r="J89" s="47"/>
      <c r="K89" s="46" t="str">
        <f t="shared" si="20"/>
        <v>S.  70200 (Absc</v>
      </c>
      <c r="L89" s="198"/>
      <c r="O89" s="197"/>
      <c r="P89" s="116"/>
      <c r="Q89" s="198"/>
      <c r="R89" s="198"/>
    </row>
    <row r="90" spans="1:18" s="173" customFormat="1" ht="12.75" hidden="1" customHeight="1" x14ac:dyDescent="0.2">
      <c r="A90" s="48"/>
      <c r="B90" s="170">
        <v>43</v>
      </c>
      <c r="C90" s="46" t="str">
        <f t="shared" si="21"/>
        <v xml:space="preserve"> 98900S.  82800 (Zins</v>
      </c>
      <c r="D90" s="47" t="str">
        <f t="shared" si="19"/>
        <v xml:space="preserve"> 98900: AB, 31.12., S.  82800 (Zinsen für Bankkredite), 558,-, xxxx</v>
      </c>
      <c r="E90" s="171"/>
      <c r="F90" s="171"/>
      <c r="G90" s="47"/>
      <c r="H90" s="47"/>
      <c r="I90" s="172"/>
      <c r="J90" s="47"/>
      <c r="K90" s="46" t="str">
        <f t="shared" si="20"/>
        <v>S.  82800 (Zins</v>
      </c>
      <c r="L90" s="198"/>
      <c r="O90" s="197"/>
      <c r="P90" s="116"/>
      <c r="Q90" s="198"/>
      <c r="R90" s="198"/>
    </row>
    <row r="91" spans="1:18" s="173" customFormat="1" ht="12.75" hidden="1" customHeight="1" x14ac:dyDescent="0.2">
      <c r="A91" s="48"/>
      <c r="B91" s="170">
        <v>44</v>
      </c>
      <c r="C91" s="46" t="str">
        <f t="shared" si="21"/>
        <v/>
      </c>
      <c r="D91" s="47" t="str">
        <f t="shared" si="19"/>
        <v/>
      </c>
      <c r="E91" s="171"/>
      <c r="F91" s="171"/>
      <c r="G91" s="47"/>
      <c r="H91" s="47"/>
      <c r="I91" s="172"/>
      <c r="J91" s="47"/>
      <c r="K91" s="46" t="str">
        <f t="shared" si="20"/>
        <v/>
      </c>
      <c r="L91" s="198"/>
      <c r="O91" s="197"/>
      <c r="P91" s="116"/>
      <c r="Q91" s="198"/>
      <c r="R91" s="198"/>
    </row>
    <row r="92" spans="1:18" s="173" customFormat="1" ht="12.75" hidden="1" customHeight="1" x14ac:dyDescent="0.2">
      <c r="A92" s="48"/>
      <c r="B92" s="170">
        <v>45</v>
      </c>
      <c r="C92" s="46" t="str">
        <f t="shared" si="21"/>
        <v/>
      </c>
      <c r="D92" s="47" t="str">
        <f t="shared" si="19"/>
        <v/>
      </c>
      <c r="E92" s="171"/>
      <c r="F92" s="171"/>
      <c r="G92" s="47"/>
      <c r="H92" s="47"/>
      <c r="I92" s="172"/>
      <c r="J92" s="47"/>
      <c r="K92" s="46" t="str">
        <f t="shared" si="20"/>
        <v/>
      </c>
      <c r="L92" s="198"/>
      <c r="O92" s="197"/>
      <c r="P92" s="116"/>
      <c r="Q92" s="198"/>
      <c r="R92" s="198"/>
    </row>
    <row r="93" spans="1:18" s="173" customFormat="1" ht="12.75" hidden="1" customHeight="1" x14ac:dyDescent="0.2">
      <c r="A93" s="48"/>
      <c r="B93" s="170">
        <v>46</v>
      </c>
      <c r="C93" s="46" t="str">
        <f t="shared" si="21"/>
        <v/>
      </c>
      <c r="D93" s="47" t="str">
        <f t="shared" si="19"/>
        <v/>
      </c>
      <c r="E93" s="171"/>
      <c r="F93" s="171"/>
      <c r="G93" s="47"/>
      <c r="H93" s="47"/>
      <c r="I93" s="172"/>
      <c r="J93" s="47"/>
      <c r="K93" s="46" t="str">
        <f t="shared" si="20"/>
        <v/>
      </c>
      <c r="L93" s="198"/>
      <c r="O93" s="197"/>
      <c r="P93" s="116"/>
      <c r="Q93" s="198"/>
      <c r="R93" s="198"/>
    </row>
    <row r="94" spans="1:18" s="173" customFormat="1" ht="12.75" hidden="1" customHeight="1" x14ac:dyDescent="0.2">
      <c r="A94" s="48"/>
      <c r="B94" s="170">
        <v>47</v>
      </c>
      <c r="C94" s="46" t="str">
        <f t="shared" si="21"/>
        <v/>
      </c>
      <c r="D94" s="47" t="str">
        <f t="shared" si="19"/>
        <v/>
      </c>
      <c r="E94" s="171"/>
      <c r="F94" s="171"/>
      <c r="G94" s="47"/>
      <c r="H94" s="47"/>
      <c r="I94" s="172"/>
      <c r="J94" s="47"/>
      <c r="K94" s="46" t="str">
        <f t="shared" si="20"/>
        <v/>
      </c>
      <c r="L94" s="198"/>
      <c r="O94" s="197"/>
      <c r="P94" s="116"/>
      <c r="Q94" s="198"/>
      <c r="R94" s="198"/>
    </row>
    <row r="95" spans="1:18" s="173" customFormat="1" ht="12.75" hidden="1" customHeight="1" x14ac:dyDescent="0.2">
      <c r="A95" s="48"/>
      <c r="B95" s="170">
        <v>48</v>
      </c>
      <c r="C95" s="46" t="str">
        <f t="shared" si="21"/>
        <v xml:space="preserve"> 98900SALDO</v>
      </c>
      <c r="D95" s="47" t="str">
        <f t="shared" si="19"/>
        <v xml:space="preserve"> 98900: AB, 31.12., SALDO, xxxx, 3 253,-</v>
      </c>
      <c r="E95" s="171"/>
      <c r="F95" s="171"/>
      <c r="G95" s="47"/>
      <c r="H95" s="47"/>
      <c r="I95" s="172"/>
      <c r="J95" s="47"/>
      <c r="K95" s="46" t="str">
        <f t="shared" si="20"/>
        <v>SALDO</v>
      </c>
      <c r="L95" s="198"/>
      <c r="O95" s="197"/>
      <c r="P95" s="116"/>
      <c r="Q95" s="198"/>
      <c r="R95" s="198"/>
    </row>
    <row r="96" spans="1:18" s="173" customFormat="1" ht="12.75" hidden="1" customHeight="1" x14ac:dyDescent="0.2">
      <c r="A96" s="48"/>
      <c r="B96" s="170">
        <v>49</v>
      </c>
      <c r="C96" s="46" t="str">
        <f t="shared" si="21"/>
        <v xml:space="preserve"> 98900Summe</v>
      </c>
      <c r="D96" s="47" t="str">
        <f t="shared" si="19"/>
        <v xml:space="preserve"> 98900: Summe, 8 423,-, 8 423,-</v>
      </c>
      <c r="E96" s="171"/>
      <c r="F96" s="171"/>
      <c r="G96" s="47"/>
      <c r="H96" s="47"/>
      <c r="I96" s="172"/>
      <c r="J96" s="47"/>
      <c r="K96" s="46" t="str">
        <f t="shared" si="20"/>
        <v>Summe</v>
      </c>
      <c r="L96" s="198"/>
      <c r="O96" s="197"/>
      <c r="P96" s="116"/>
      <c r="Q96" s="198"/>
      <c r="R96" s="198"/>
    </row>
    <row r="97" spans="1:18" s="173" customFormat="1" ht="12.75" hidden="1" customHeight="1" x14ac:dyDescent="0.2">
      <c r="A97" s="48"/>
      <c r="B97" s="170">
        <v>50</v>
      </c>
      <c r="C97" s="46" t="str">
        <f>IF(D97="","",MID(D97,1,FIND(": ",D97,1)-1)&amp;K97)</f>
        <v/>
      </c>
      <c r="D97" s="47" t="str">
        <f>IF(OR($R$16="",AND(Q18="",R18="")),"",CONCATENATE($R$16,": ",IF(N18="","",N18&amp;", "),IF(O18="","",O18&amp;", "),IF(P18="","",P18&amp;", "),IF(Q18="","xxxx",TEXT(Q18,"# ##0,-")),", ",IF(R18="","xxxx",TEXT(R18,"# ##0,-"))))</f>
        <v/>
      </c>
      <c r="E97" s="171"/>
      <c r="F97" s="171"/>
      <c r="G97" s="47"/>
      <c r="H97" s="47"/>
      <c r="I97" s="172"/>
      <c r="J97" s="47"/>
      <c r="K97" s="46" t="str">
        <f>IF(P18="","",MID(P18,1,15))</f>
        <v/>
      </c>
      <c r="L97" s="198"/>
      <c r="O97" s="197"/>
      <c r="P97" s="116"/>
      <c r="Q97" s="198"/>
      <c r="R97" s="198"/>
    </row>
    <row r="98" spans="1:18" s="173" customFormat="1" ht="12.75" hidden="1" customHeight="1" x14ac:dyDescent="0.2">
      <c r="A98" s="48"/>
      <c r="B98" s="170">
        <v>51</v>
      </c>
      <c r="C98" s="46" t="str">
        <f t="shared" ref="C98:C101" si="22">IF(D98="","",MID(D98,1,FIND(": ",D98,1)-1)&amp;K98)</f>
        <v/>
      </c>
      <c r="D98" s="47" t="str">
        <f>IF(OR($R$16="",AND(Q19="",R19="")),"",CONCATENATE($R$16,": ",IF(N19="","",N19&amp;", "),IF(O19="","",O19&amp;", "),IF(P19="","",P19&amp;", "),IF(Q19="","xxxx",TEXT(Q19,"# ##0,-")),", ",IF(R19="","xxxx",TEXT(R19,"# ##0,-"))))</f>
        <v/>
      </c>
      <c r="E98" s="171"/>
      <c r="F98" s="171"/>
      <c r="G98" s="47"/>
      <c r="H98" s="47"/>
      <c r="I98" s="172"/>
      <c r="J98" s="47"/>
      <c r="K98" s="46" t="str">
        <f>IF(P19="","",MID(P19,1,15))</f>
        <v/>
      </c>
      <c r="L98" s="198"/>
      <c r="O98" s="197"/>
      <c r="P98" s="116"/>
      <c r="Q98" s="198"/>
      <c r="R98" s="198"/>
    </row>
    <row r="99" spans="1:18" s="173" customFormat="1" ht="12.75" hidden="1" customHeight="1" x14ac:dyDescent="0.2">
      <c r="A99" s="48"/>
      <c r="B99" s="170">
        <v>52</v>
      </c>
      <c r="C99" s="46" t="str">
        <f t="shared" si="22"/>
        <v/>
      </c>
      <c r="D99" s="47" t="str">
        <f>IF(OR($R$16="",AND(Q20="",R20="")),"",CONCATENATE($R$16,": ",IF(N20="","",N20&amp;", "),IF(O20="","",O20&amp;", "),IF(P20="","",P20&amp;", "),IF(Q20="","xxxx",TEXT(Q20,"# ##0,-")),", ",IF(R20="","xxxx",TEXT(R20,"# ##0,-"))))</f>
        <v/>
      </c>
      <c r="E99" s="171"/>
      <c r="F99" s="171"/>
      <c r="G99" s="47"/>
      <c r="H99" s="47"/>
      <c r="I99" s="172"/>
      <c r="J99" s="47"/>
      <c r="K99" s="46" t="str">
        <f>IF(P20="","",MID(P20,1,15))</f>
        <v/>
      </c>
      <c r="L99" s="198"/>
      <c r="O99" s="197"/>
      <c r="P99" s="116"/>
      <c r="Q99" s="198"/>
      <c r="R99" s="198"/>
    </row>
    <row r="100" spans="1:18" s="173" customFormat="1" ht="12.75" hidden="1" customHeight="1" x14ac:dyDescent="0.2">
      <c r="A100" s="48"/>
      <c r="B100" s="170">
        <v>53</v>
      </c>
      <c r="C100" s="46" t="str">
        <f t="shared" si="22"/>
        <v/>
      </c>
      <c r="D100" s="47" t="str">
        <f>IF(OR($R$16="",AND(Q21="",R21="")),"",CONCATENATE($R$16,": ",IF(N21="","",N21&amp;", "),IF(O21="","",O21&amp;", "),IF(P21="","",P21&amp;", "),IF(Q21="","xxxx",TEXT(Q21,"# ##0,-")),", ",IF(R21="","xxxx",TEXT(R21,"# ##0,-"))))</f>
        <v/>
      </c>
      <c r="E100" s="171"/>
      <c r="F100" s="171"/>
      <c r="G100" s="47"/>
      <c r="H100" s="47"/>
      <c r="I100" s="172"/>
      <c r="J100" s="47"/>
      <c r="K100" s="46" t="str">
        <f>IF(P21="","",MID(P21,1,15))</f>
        <v>SALDO</v>
      </c>
      <c r="L100" s="198"/>
      <c r="O100" s="197"/>
      <c r="P100" s="116"/>
      <c r="Q100" s="198"/>
      <c r="R100" s="198"/>
    </row>
    <row r="101" spans="1:18" s="173" customFormat="1" ht="12.75" hidden="1" customHeight="1" x14ac:dyDescent="0.2">
      <c r="A101" s="48"/>
      <c r="B101" s="170">
        <v>54</v>
      </c>
      <c r="C101" s="46" t="str">
        <f t="shared" si="22"/>
        <v/>
      </c>
      <c r="D101" s="47" t="str">
        <f>IF(OR($R$16="",AND(Q22="",R22="")),"",CONCATENATE($R$16,": ",IF(N22="","",N22&amp;", "),IF(O22="","",O22&amp;", "),IF(P22="","",P22&amp;", "),IF(Q22="","xxxx",TEXT(Q22,"# ##0,-")),", ",IF(R22="","xxxx",TEXT(R22,"# ##0,-"))))</f>
        <v/>
      </c>
      <c r="E101" s="171"/>
      <c r="F101" s="171"/>
      <c r="G101" s="47"/>
      <c r="H101" s="47"/>
      <c r="I101" s="172"/>
      <c r="J101" s="47"/>
      <c r="K101" s="46" t="str">
        <f>IF(P22="","",MID(P22,1,15))</f>
        <v>Summe</v>
      </c>
      <c r="L101" s="198"/>
      <c r="O101" s="197"/>
      <c r="P101" s="116"/>
      <c r="Q101" s="198"/>
      <c r="R101" s="198"/>
    </row>
    <row r="102" spans="1:18" s="173" customFormat="1" ht="12.75" hidden="1" customHeight="1" x14ac:dyDescent="0.2">
      <c r="A102" s="48"/>
      <c r="B102" s="170">
        <v>62</v>
      </c>
      <c r="C102" s="46" t="str">
        <f t="shared" si="7"/>
        <v/>
      </c>
      <c r="D102" s="47" t="str">
        <f>IF(OR($R$24="",AND(Q26="",R26="")),"",CONCATENATE($R$24,": ",IF(N26="","",N26&amp;", "),IF(O26="","",O26&amp;", "),IF(P26="","",P26&amp;", "),IF(Q26="","xxxx",TEXT(Q26,"# ##0,-")),", ",IF(R26="","xxxx",TEXT(R26,"# ##0,-"))))</f>
        <v/>
      </c>
      <c r="E102" s="171"/>
      <c r="F102" s="171"/>
      <c r="G102" s="47"/>
      <c r="H102" s="47"/>
      <c r="I102" s="172"/>
      <c r="J102" s="47"/>
      <c r="K102" s="46" t="str">
        <f>IF(P26="","",MID(P26,1,15))</f>
        <v/>
      </c>
      <c r="L102" s="198"/>
      <c r="O102" s="197"/>
      <c r="P102" s="116"/>
      <c r="Q102" s="198"/>
      <c r="R102" s="198"/>
    </row>
    <row r="103" spans="1:18" s="173" customFormat="1" ht="12.75" hidden="1" customHeight="1" x14ac:dyDescent="0.2">
      <c r="A103" s="48"/>
      <c r="B103" s="170">
        <v>63</v>
      </c>
      <c r="C103" s="46" t="str">
        <f t="shared" si="7"/>
        <v/>
      </c>
      <c r="D103" s="47" t="str">
        <f>IF(OR($R$24="",AND(Q27="",R27="")),"",CONCATENATE($R$24,": ",IF(N27="","",N27&amp;", "),IF(O27="","",O27&amp;", "),IF(P27="","",P27&amp;", "),IF(Q27="","xxxx",TEXT(Q27,"# ##0,-")),", ",IF(R27="","xxxx",TEXT(R27,"# ##0,-"))))</f>
        <v/>
      </c>
      <c r="E103" s="171"/>
      <c r="F103" s="171"/>
      <c r="G103" s="47"/>
      <c r="H103" s="47"/>
      <c r="I103" s="172"/>
      <c r="J103" s="47"/>
      <c r="K103" s="46" t="str">
        <f>IF(P27="","",MID(P27,1,15))</f>
        <v/>
      </c>
      <c r="L103" s="198"/>
      <c r="O103" s="197"/>
      <c r="P103" s="116"/>
      <c r="Q103" s="198"/>
      <c r="R103" s="198"/>
    </row>
    <row r="104" spans="1:18" s="173" customFormat="1" ht="12.75" hidden="1" customHeight="1" x14ac:dyDescent="0.2">
      <c r="A104" s="48"/>
      <c r="B104" s="170">
        <v>64</v>
      </c>
      <c r="C104" s="46" t="str">
        <f t="shared" si="7"/>
        <v/>
      </c>
      <c r="D104" s="47" t="str">
        <f>IF(OR($R$24="",AND(Q28="",R28="")),"",CONCATENATE($R$24,": ",IF(N28="","",N28&amp;", "),IF(O28="","",O28&amp;", "),IF(P28="","",P28&amp;", "),IF(Q28="","xxxx",TEXT(Q28,"# ##0,-")),", ",IF(R28="","xxxx",TEXT(R28,"# ##0,-"))))</f>
        <v/>
      </c>
      <c r="E104" s="171"/>
      <c r="F104" s="171"/>
      <c r="G104" s="47"/>
      <c r="H104" s="47"/>
      <c r="I104" s="172"/>
      <c r="J104" s="47"/>
      <c r="K104" s="46" t="str">
        <f>IF(P28="","",MID(P28,1,15))</f>
        <v/>
      </c>
      <c r="L104" s="198"/>
      <c r="O104" s="197"/>
      <c r="P104" s="116"/>
      <c r="Q104" s="198"/>
      <c r="R104" s="198"/>
    </row>
    <row r="105" spans="1:18" s="173" customFormat="1" ht="12.75" hidden="1" customHeight="1" x14ac:dyDescent="0.2">
      <c r="A105" s="48"/>
      <c r="B105" s="170">
        <v>65</v>
      </c>
      <c r="C105" s="46" t="str">
        <f t="shared" si="7"/>
        <v/>
      </c>
      <c r="D105" s="47" t="str">
        <f>IF(OR($R$24="",AND(Q29="",R29="")),"",CONCATENATE($R$24,": ",IF(N29="","",N29&amp;", "),IF(O29="","",O29&amp;", "),IF(P29="","",P29&amp;", "),IF(Q29="","xxxx",TEXT(Q29,"# ##0,-")),", ",IF(R29="","xxxx",TEXT(R29,"# ##0,-"))))</f>
        <v/>
      </c>
      <c r="E105" s="171"/>
      <c r="F105" s="171"/>
      <c r="G105" s="47"/>
      <c r="H105" s="47"/>
      <c r="I105" s="172"/>
      <c r="J105" s="47"/>
      <c r="K105" s="46" t="str">
        <f>IF(P29="","",MID(P29,1,15))</f>
        <v>SALDO</v>
      </c>
      <c r="L105" s="198"/>
      <c r="O105" s="197"/>
      <c r="P105" s="116"/>
      <c r="Q105" s="198"/>
      <c r="R105" s="198"/>
    </row>
    <row r="106" spans="1:18" s="173" customFormat="1" ht="12.75" hidden="1" customHeight="1" x14ac:dyDescent="0.2">
      <c r="A106" s="48"/>
      <c r="B106" s="170">
        <v>66</v>
      </c>
      <c r="C106" s="46" t="str">
        <f t="shared" ref="C106" si="23">IF(D106="","",MID(D106,1,FIND(": ",D106,1)-1)&amp;K106)</f>
        <v/>
      </c>
      <c r="D106" s="47" t="str">
        <f>IF(OR($R$24="",AND(Q30="",R30="")),"",CONCATENATE($R$24,": ",IF(N30="","",N30&amp;", "),IF(O30="","",O30&amp;", "),IF(P30="","",P30&amp;", "),IF(Q30="","xxxx",TEXT(Q30,"# ##0,-")),", ",IF(R30="","xxxx",TEXT(R30,"# ##0,-"))))</f>
        <v/>
      </c>
      <c r="E106" s="171"/>
      <c r="F106" s="171"/>
      <c r="G106" s="47"/>
      <c r="H106" s="47"/>
      <c r="I106" s="172"/>
      <c r="J106" s="47"/>
      <c r="K106" s="46" t="str">
        <f>IF(P30="","",MID(P30,1,15))</f>
        <v>Summe</v>
      </c>
      <c r="L106" s="198"/>
      <c r="O106" s="197"/>
      <c r="P106" s="116"/>
      <c r="Q106" s="198"/>
      <c r="R106" s="198"/>
    </row>
  </sheetData>
  <sheetProtection algorithmName="SHA-512" hashValue="zHokIDjjPktnpm4g29PNpMKmF3PJNSD9SddrcQP4D9yhfeoEVcoBr6k73ILSH4Z1UhVh8m+iRAXqpVPEu94paA==" saltValue="5R19UXnKLKxDgOfTdQVs6w==" spinCount="100000" sheet="1" objects="1" scenarios="1" selectLockedCells="1" selectUnlockedCells="1"/>
  <dataValidations count="4">
    <dataValidation type="list" allowBlank="1" showInputMessage="1" showErrorMessage="1" sqref="D5:D7 D13:D28 J5:J17 P5:P12 P18:P20 P26:P28 J22:J29" xr:uid="{00000000-0002-0000-0B00-000000000000}">
      <formula1>B_Text</formula1>
    </dataValidation>
    <dataValidation type="list" allowBlank="1" showInputMessage="1" showErrorMessage="1" sqref="C5:C8 C13:C29 I5:I17 O5:O13 O18:O21 O26:O29 I22:I29" xr:uid="{00000000-0002-0000-0B00-000001000000}">
      <formula1>Dat</formula1>
    </dataValidation>
    <dataValidation type="list" allowBlank="1" showInputMessage="1" showErrorMessage="1" sqref="B5:B8 N5:N13 N18:N21 B13:B30 N26:N29 H5:H18 H23:H30" xr:uid="{00000000-0002-0000-0B00-000002000000}">
      <formula1>BNr</formula1>
    </dataValidation>
    <dataValidation type="list" allowBlank="1" showInputMessage="1" showErrorMessage="1" sqref="F3 F11 L3 R3 L21 R16 R24" xr:uid="{00000000-0002-0000-0B00-000003000000}">
      <formula1>KTONR</formula1>
    </dataValidation>
  </dataValidations>
  <pageMargins left="0.39370078740157483" right="0.78740157480314965" top="0.59055118110236227" bottom="0.59055118110236227" header="0.39370078740157483" footer="0.31496062992125984"/>
  <pageSetup paperSize="9" scale="77" orientation="landscape" blackAndWhite="1" r:id="rId1"/>
  <headerFooter>
    <oddFooter>&amp;L&amp;"+,Fett"&amp;8Seite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F15"/>
  <sheetViews>
    <sheetView showGridLines="0" showRowColHeaders="0" topLeftCell="B1" workbookViewId="0">
      <pane xSplit="1" ySplit="2" topLeftCell="C3" activePane="bottomRight" state="frozen"/>
      <selection activeCell="B1" sqref="B1"/>
      <selection pane="topRight" activeCell="C1" sqref="C1"/>
      <selection pane="bottomLeft" activeCell="B3" sqref="B3"/>
      <selection pane="bottomRight" activeCell="C3" sqref="C3"/>
    </sheetView>
  </sheetViews>
  <sheetFormatPr baseColWidth="10" defaultColWidth="0" defaultRowHeight="15" zeroHeight="1" x14ac:dyDescent="0.25"/>
  <cols>
    <col min="1" max="1" width="7.7109375" customWidth="1"/>
    <col min="2" max="2" width="0.140625" customWidth="1"/>
    <col min="3" max="3" width="4.7109375" customWidth="1"/>
    <col min="4" max="4" width="40.7109375" customWidth="1"/>
    <col min="5" max="5" width="18.7109375" customWidth="1"/>
    <col min="6" max="6" width="5.7109375" customWidth="1"/>
    <col min="7" max="16384" width="11.42578125" hidden="1"/>
  </cols>
  <sheetData>
    <row r="1" spans="3:6" s="227" customFormat="1" ht="27" customHeight="1" x14ac:dyDescent="0.3">
      <c r="C1" s="306" t="s">
        <v>131</v>
      </c>
      <c r="D1" s="306"/>
      <c r="E1" s="306"/>
      <c r="F1" s="306"/>
    </row>
    <row r="2" spans="3:6" s="227" customFormat="1" ht="30" customHeight="1" x14ac:dyDescent="0.3">
      <c r="E2" s="367"/>
    </row>
    <row r="3" spans="3:6" s="227" customFormat="1" ht="23.25" x14ac:dyDescent="0.35">
      <c r="C3" s="228" t="s">
        <v>132</v>
      </c>
    </row>
    <row r="4" spans="3:6" s="227" customFormat="1" ht="18.75" x14ac:dyDescent="0.3">
      <c r="D4" s="227" t="s">
        <v>133</v>
      </c>
      <c r="E4" s="368">
        <f>IF('H-EAK'!L18="",0,'H-EAK'!L18)</f>
        <v>195084.7</v>
      </c>
    </row>
    <row r="5" spans="3:6" s="227" customFormat="1" ht="18.75" x14ac:dyDescent="0.3">
      <c r="C5" s="227" t="s">
        <v>134</v>
      </c>
      <c r="D5" s="227" t="s">
        <v>135</v>
      </c>
      <c r="E5" s="368">
        <f>IF('H-EAK'!E29="",0,-'H-EAK'!E29)</f>
        <v>-210629.19999999995</v>
      </c>
    </row>
    <row r="6" spans="3:6" s="229" customFormat="1" ht="18.75" x14ac:dyDescent="0.3">
      <c r="C6" s="230" t="s">
        <v>136</v>
      </c>
      <c r="D6" s="230" t="s">
        <v>137</v>
      </c>
      <c r="E6" s="369">
        <f>IF(SUM(E4:E5)=0,0,SUM(E4:E5))</f>
        <v>-15544.499999999942</v>
      </c>
    </row>
    <row r="7" spans="3:6" s="227" customFormat="1" ht="18.75" x14ac:dyDescent="0.3">
      <c r="C7" s="227" t="s">
        <v>138</v>
      </c>
      <c r="D7" s="227" t="s">
        <v>139</v>
      </c>
      <c r="E7" s="370">
        <f>IF('H-EAK'!F8="",0,'H-EAK'!F8)</f>
        <v>12291.3</v>
      </c>
    </row>
    <row r="8" spans="3:6" s="227" customFormat="1" ht="18.75" x14ac:dyDescent="0.3">
      <c r="C8" s="227" t="s">
        <v>134</v>
      </c>
      <c r="D8" s="227" t="s">
        <v>140</v>
      </c>
      <c r="E8" s="383">
        <f>IF('H-EAK'!E8="",0,'H-EAK'!E8)</f>
        <v>0</v>
      </c>
    </row>
    <row r="9" spans="3:6" s="229" customFormat="1" ht="19.5" thickBot="1" x14ac:dyDescent="0.35">
      <c r="C9" s="231" t="s">
        <v>136</v>
      </c>
      <c r="D9" s="231" t="str">
        <f>IF(E9="","Gewinn/Verlust",IF(E9&lt;0,"Verlust","Gewinn"))</f>
        <v>Verlust</v>
      </c>
      <c r="E9" s="371">
        <f>IF(SUM(E6:E8)=0,0,SUM(E6:E8))</f>
        <v>-3253.1999999999425</v>
      </c>
    </row>
    <row r="10" spans="3:6" s="227" customFormat="1" ht="60" customHeight="1" thickTop="1" x14ac:dyDescent="0.3">
      <c r="E10" s="367"/>
    </row>
    <row r="11" spans="3:6" s="227" customFormat="1" ht="23.25" x14ac:dyDescent="0.35">
      <c r="C11" s="228" t="s">
        <v>141</v>
      </c>
      <c r="E11" s="367"/>
    </row>
    <row r="12" spans="3:6" s="227" customFormat="1" ht="18.75" x14ac:dyDescent="0.3">
      <c r="D12" s="227" t="s">
        <v>142</v>
      </c>
      <c r="E12" s="368">
        <f>IF(SUM('H-EAK'!R5:R12)=0,0,SUM('H-EAK'!R5:R12))</f>
        <v>5169.2999999999993</v>
      </c>
    </row>
    <row r="13" spans="3:6" s="227" customFormat="1" ht="18.75" x14ac:dyDescent="0.3">
      <c r="C13" s="227" t="s">
        <v>134</v>
      </c>
      <c r="D13" s="227" t="s">
        <v>143</v>
      </c>
      <c r="E13" s="368">
        <f>IF(SUM('H-EAK'!Q5:Q12)=0,0,-SUM('H-EAK'!Q5:Q12))</f>
        <v>-8422.5</v>
      </c>
    </row>
    <row r="14" spans="3:6" s="227" customFormat="1" ht="19.5" thickBot="1" x14ac:dyDescent="0.35">
      <c r="C14" s="231" t="s">
        <v>136</v>
      </c>
      <c r="D14" s="231" t="str">
        <f>IF(E14="","Gewinn/Verlust",IF(E14&lt;0,"Verlust","Gewinn"))</f>
        <v>Verlust</v>
      </c>
      <c r="E14" s="371">
        <f>IF(SUM(E12:E13)=0,0,SUM(E12:E13))</f>
        <v>-3253.2000000000007</v>
      </c>
    </row>
    <row r="15" spans="3:6" ht="15.75" thickTop="1" x14ac:dyDescent="0.25"/>
  </sheetData>
  <sheetProtection algorithmName="SHA-512" hashValue="9+ILMrgyU9zX2QO2aY+ZKTYx8lo0z4wM4zkIyHe4QEGT4OnCF7VZiJ4wlH33Gdv6jEK9lmi3XSzW1zu50pbvWg==" saltValue="J0wfru6jxbVXRq3yxDwuyA==" spinCount="100000" sheet="1" objects="1" scenarios="1" selectLockedCells="1" selectUnlockedCells="1"/>
  <pageMargins left="0.39370078740157483" right="0.39370078740157483" top="1.1811023622047245" bottom="0.59055118110236227" header="0.39370078740157483" footer="0.31496062992125984"/>
  <pageSetup paperSize="9" scale="85" orientation="portrait" blackAndWhite="1" r:id="rId1"/>
  <headerFooter>
    <oddHeader>&amp;L&amp;G</oddHeader>
    <oddFooter>&amp;R&amp;"+,Fett"&amp;8Seite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H64"/>
  <sheetViews>
    <sheetView showGridLines="0" showRowColHeaders="0" topLeftCell="B1" workbookViewId="0">
      <pane xSplit="1" ySplit="1" topLeftCell="C2" activePane="bottomRight" state="frozen"/>
      <selection activeCell="CZ9" sqref="CZ9"/>
      <selection pane="topRight" activeCell="CZ9" sqref="CZ9"/>
      <selection pane="bottomLeft" activeCell="CZ9" sqref="CZ9"/>
      <selection pane="bottomRight" activeCell="C2" sqref="C2"/>
    </sheetView>
  </sheetViews>
  <sheetFormatPr baseColWidth="10" defaultColWidth="0" defaultRowHeight="15" zeroHeight="1" x14ac:dyDescent="0.25"/>
  <cols>
    <col min="1" max="1" width="7.7109375" customWidth="1"/>
    <col min="2" max="2" width="0.140625" customWidth="1"/>
    <col min="3" max="3" width="8.7109375" customWidth="1"/>
    <col min="4" max="4" width="40.7109375" customWidth="1"/>
    <col min="5" max="5" width="1.7109375" customWidth="1"/>
    <col min="6" max="6" width="8.7109375" customWidth="1"/>
    <col min="7" max="7" width="40.7109375" customWidth="1"/>
    <col min="8" max="8" width="2.7109375" customWidth="1"/>
    <col min="9" max="16384" width="11.42578125" hidden="1"/>
  </cols>
  <sheetData>
    <row r="1" spans="3:8" s="49" customFormat="1" ht="27" customHeight="1" x14ac:dyDescent="0.25">
      <c r="C1" s="50" t="s">
        <v>78</v>
      </c>
      <c r="D1" s="50"/>
      <c r="E1" s="50"/>
      <c r="F1" s="50"/>
      <c r="G1" s="50"/>
      <c r="H1" s="50"/>
    </row>
    <row r="2" spans="3:8" s="49" customFormat="1" ht="30" customHeight="1" x14ac:dyDescent="0.25">
      <c r="C2" s="51"/>
      <c r="D2" s="52"/>
      <c r="E2"/>
      <c r="F2" s="53"/>
    </row>
    <row r="3" spans="3:8" s="49" customFormat="1" ht="12.75" customHeight="1" x14ac:dyDescent="0.25">
      <c r="C3" s="54" t="s">
        <v>79</v>
      </c>
      <c r="D3" s="55" t="s">
        <v>80</v>
      </c>
      <c r="E3"/>
      <c r="F3" s="56" t="str">
        <f>IF('KP LBG'!A56="","",'KP LBG'!A56)</f>
        <v xml:space="preserve"> 48150</v>
      </c>
      <c r="G3" s="56" t="str">
        <f>IF('KP LBG'!B56="","",'KP LBG'!B56)</f>
        <v>Erträge Direktvermarktung - Urproduktion</v>
      </c>
    </row>
    <row r="4" spans="3:8" s="49" customFormat="1" ht="12.75" customHeight="1" x14ac:dyDescent="0.25">
      <c r="C4" s="56" t="str">
        <f>IF('KP LBG'!A4="","",'KP LBG'!A4)</f>
        <v xml:space="preserve"> 02000</v>
      </c>
      <c r="D4" s="56" t="str">
        <f>IF('KP LBG'!B4="","",'KP LBG'!B4)</f>
        <v>Grund und Boden (unbebaute Grundstücke)</v>
      </c>
      <c r="E4"/>
      <c r="F4" s="56" t="str">
        <f>IF('KP LBG'!A57="","",'KP LBG'!A57)</f>
        <v xml:space="preserve"> 48160</v>
      </c>
      <c r="G4" s="56" t="str">
        <f>IF('KP LBG'!B57="","",'KP LBG'!B57)</f>
        <v>Erträge Direktvermarktung - Be- und Verarbeitung</v>
      </c>
    </row>
    <row r="5" spans="3:8" s="49" customFormat="1" ht="12.75" customHeight="1" x14ac:dyDescent="0.25">
      <c r="C5" s="56" t="str">
        <f>IF('KP LBG'!A5="","",'KP LBG'!A5)</f>
        <v xml:space="preserve"> 02004</v>
      </c>
      <c r="D5" s="56" t="str">
        <f>IF('KP LBG'!B5="","",'KP LBG'!B5)</f>
        <v>Grundverbesserung (unbebaute Grundstücke)</v>
      </c>
      <c r="E5"/>
      <c r="F5" s="56" t="str">
        <f>IF('KP LBG'!A58="","",'KP LBG'!A58)</f>
        <v xml:space="preserve"> 48605</v>
      </c>
      <c r="G5" s="56" t="str">
        <f>IF('KP LBG'!B58="","",'KP LBG'!B58)</f>
        <v>Zuwendungen aus öffentlichen Mitteln</v>
      </c>
    </row>
    <row r="6" spans="3:8" s="49" customFormat="1" ht="12.75" customHeight="1" x14ac:dyDescent="0.25">
      <c r="C6" s="56" t="str">
        <f>IF('KP LBG'!A6="","",'KP LBG'!A6)</f>
        <v xml:space="preserve"> 03000</v>
      </c>
      <c r="D6" s="56" t="str">
        <f>IF('KP LBG'!B6="","",'KP LBG'!B6)</f>
        <v>Betriebs- und Geschäftsgebäude</v>
      </c>
      <c r="E6"/>
      <c r="F6" s="56" t="str">
        <f>IF('KP LBG'!A59="","",'KP LBG'!A59)</f>
        <v xml:space="preserve"> 48610</v>
      </c>
      <c r="G6" s="56" t="str">
        <f>IF('KP LBG'!B59="","",'KP LBG'!B59)</f>
        <v>Marktordnungsmaßnahmen</v>
      </c>
    </row>
    <row r="7" spans="3:8" s="49" customFormat="1" ht="12.75" customHeight="1" x14ac:dyDescent="0.25">
      <c r="C7" s="56" t="str">
        <f>IF('KP LBG'!A7="","",'KP LBG'!A7)</f>
        <v xml:space="preserve"> 04000</v>
      </c>
      <c r="D7" s="56" t="str">
        <f>IF('KP LBG'!B7="","",'KP LBG'!B7)</f>
        <v>Maschinen und Geräte</v>
      </c>
      <c r="E7"/>
      <c r="F7" s="56" t="str">
        <f>IF('KP LBG'!A60="","",'KP LBG'!A60)</f>
        <v xml:space="preserve"> 48615</v>
      </c>
      <c r="G7" s="56" t="str">
        <f>IF('KP LBG'!B60="","",'KP LBG'!B60)</f>
        <v>Enheitliche Betriebsprämie</v>
      </c>
    </row>
    <row r="8" spans="3:8" s="49" customFormat="1" ht="12.75" customHeight="1" x14ac:dyDescent="0.25">
      <c r="C8" s="56" t="str">
        <f>IF('KP LBG'!A8="","",'KP LBG'!A8)</f>
        <v xml:space="preserve"> 05100</v>
      </c>
      <c r="D8" s="56" t="str">
        <f>IF('KP LBG'!B8="","",'KP LBG'!B8)</f>
        <v>allgemeine Werkzeuge und Handwerkzeuge</v>
      </c>
      <c r="E8"/>
      <c r="F8" s="56" t="str">
        <f>IF('KP LBG'!A61="","",'KP LBG'!A61)</f>
        <v xml:space="preserve"> 48620</v>
      </c>
      <c r="G8" s="56" t="str">
        <f>IF('KP LBG'!B61="","",'KP LBG'!B61)</f>
        <v>Ertragszuschüsse Bodennutzung</v>
      </c>
    </row>
    <row r="9" spans="3:8" s="49" customFormat="1" ht="12.75" customHeight="1" x14ac:dyDescent="0.25">
      <c r="C9" s="56" t="str">
        <f>IF('KP LBG'!A9="","",'KP LBG'!A9)</f>
        <v xml:space="preserve"> 06000</v>
      </c>
      <c r="D9" s="56" t="str">
        <f>IF('KP LBG'!B9="","",'KP LBG'!B9)</f>
        <v>Betriebs- und Geschäftsausstattung</v>
      </c>
      <c r="E9"/>
      <c r="F9" s="56" t="str">
        <f>IF('KP LBG'!A62="","",'KP LBG'!A62)</f>
        <v xml:space="preserve"> 48625</v>
      </c>
      <c r="G9" s="56" t="str">
        <f>IF('KP LBG'!B62="","",'KP LBG'!B62)</f>
        <v>Ertragszuschüsse Tierhaltung</v>
      </c>
    </row>
    <row r="10" spans="3:8" s="49" customFormat="1" ht="12.75" customHeight="1" x14ac:dyDescent="0.25">
      <c r="C10" s="56" t="str">
        <f>IF('KP LBG'!A10="","",'KP LBG'!A10)</f>
        <v xml:space="preserve"> 07100</v>
      </c>
      <c r="D10" s="56" t="str">
        <f>IF('KP LBG'!B10="","",'KP LBG'!B10)</f>
        <v>Anlagen in Bau</v>
      </c>
      <c r="E10"/>
      <c r="F10" s="56" t="str">
        <f>IF('KP LBG'!A63="","",'KP LBG'!A63)</f>
        <v xml:space="preserve"> 48635</v>
      </c>
      <c r="G10" s="56" t="str">
        <f>IF('KP LBG'!B63="","",'KP LBG'!B63)</f>
        <v>Ausgleichszulage für benachteiligte Gebiete</v>
      </c>
    </row>
    <row r="11" spans="3:8" s="49" customFormat="1" ht="12.75" customHeight="1" x14ac:dyDescent="0.25">
      <c r="C11" s="56" t="str">
        <f>IF('KP LBG'!A11="","",'KP LBG'!A11)</f>
        <v xml:space="preserve"> 09000</v>
      </c>
      <c r="D11" s="56" t="str">
        <f>IF('KP LBG'!B11="","",'KP LBG'!B11)</f>
        <v>Genossenschaftsanteile</v>
      </c>
      <c r="E11"/>
      <c r="F11" s="56" t="str">
        <f>IF('KP LBG'!A64="","",'KP LBG'!A64)</f>
        <v xml:space="preserve"> 48640</v>
      </c>
      <c r="G11" s="56" t="str">
        <f>IF('KP LBG'!B64="","",'KP LBG'!B64)</f>
        <v>Umweltprämien (ÖPUL)</v>
      </c>
    </row>
    <row r="12" spans="3:8" s="49" customFormat="1" ht="12.75" customHeight="1" x14ac:dyDescent="0.25">
      <c r="C12" s="56"/>
      <c r="D12" s="56"/>
      <c r="E12"/>
      <c r="F12" s="56" t="str">
        <f>IF('KP LBG'!A65="","",'KP LBG'!A65)</f>
        <v xml:space="preserve"> 48810</v>
      </c>
      <c r="G12" s="56" t="str">
        <f>IF('KP LBG'!B65="","",'KP LBG'!B65)</f>
        <v>Versicherungsvergütungen</v>
      </c>
    </row>
    <row r="13" spans="3:8" s="49" customFormat="1" ht="12.75" customHeight="1" x14ac:dyDescent="0.25">
      <c r="C13" s="57" t="s">
        <v>81</v>
      </c>
      <c r="D13" s="58" t="s">
        <v>82</v>
      </c>
      <c r="E13"/>
      <c r="F13" s="53"/>
    </row>
    <row r="14" spans="3:8" s="49" customFormat="1" ht="12.75" customHeight="1" x14ac:dyDescent="0.25">
      <c r="C14" s="56" t="str">
        <f>IF('KP LBG'!A12="","",'KP LBG'!A12)</f>
        <v xml:space="preserve"> 11050</v>
      </c>
      <c r="D14" s="56" t="str">
        <f>IF('KP LBG'!B12="","",'KP LBG'!B12)</f>
        <v>Zugekaufte Vorräte 20%</v>
      </c>
      <c r="E14"/>
      <c r="F14" s="59" t="s">
        <v>83</v>
      </c>
      <c r="G14" s="60" t="s">
        <v>84</v>
      </c>
    </row>
    <row r="15" spans="3:8" s="49" customFormat="1" ht="12.75" customHeight="1" x14ac:dyDescent="0.25">
      <c r="C15" s="56" t="str">
        <f>IF('KP LBG'!A13="","",'KP LBG'!A13)</f>
        <v xml:space="preserve"> 14020</v>
      </c>
      <c r="D15" s="56" t="str">
        <f>IF('KP LBG'!B13="","",'KP LBG'!B13)</f>
        <v>Selbst erzeugte Vorräte</v>
      </c>
      <c r="E15"/>
      <c r="F15" s="56" t="str">
        <f>IF('KP LBG'!A66="","",'KP LBG'!A66)</f>
        <v xml:space="preserve"> 50050</v>
      </c>
      <c r="G15" s="56" t="str">
        <f>IF('KP LBG'!B66="","",'KP LBG'!B66)</f>
        <v>Saatgut u. Sämereien</v>
      </c>
    </row>
    <row r="16" spans="3:8" s="49" customFormat="1" ht="12.75" customHeight="1" x14ac:dyDescent="0.25">
      <c r="C16" s="56" t="str">
        <f>IF('KP LBG'!A14="","",'KP LBG'!A14)</f>
        <v xml:space="preserve"> 14300</v>
      </c>
      <c r="D16" s="56" t="str">
        <f>IF('KP LBG'!B14="","",'KP LBG'!B14)</f>
        <v>Bestand Vieh</v>
      </c>
      <c r="E16"/>
      <c r="F16" s="56" t="str">
        <f>IF('KP LBG'!A67="","",'KP LBG'!A67)</f>
        <v xml:space="preserve"> 50100</v>
      </c>
      <c r="G16" s="56" t="str">
        <f>IF('KP LBG'!B67="","",'KP LBG'!B67)</f>
        <v>Pflanzenschutzmittel</v>
      </c>
    </row>
    <row r="17" spans="3:7" s="49" customFormat="1" ht="12.75" customHeight="1" x14ac:dyDescent="0.25">
      <c r="C17" s="56" t="str">
        <f>IF('KP LBG'!A15="","",'KP LBG'!A15)</f>
        <v xml:space="preserve"> 14350</v>
      </c>
      <c r="D17" s="56" t="str">
        <f>IF('KP LBG'!B15="","",'KP LBG'!B15)</f>
        <v>Vorräte tierische Produkte</v>
      </c>
      <c r="E17"/>
      <c r="F17" s="56" t="str">
        <f>IF('KP LBG'!A68="","",'KP LBG'!A68)</f>
        <v xml:space="preserve"> 50150</v>
      </c>
      <c r="G17" s="56" t="str">
        <f>IF('KP LBG'!B68="","",'KP LBG'!B68)</f>
        <v>Düngemittel</v>
      </c>
    </row>
    <row r="18" spans="3:7" s="49" customFormat="1" ht="12.75" customHeight="1" x14ac:dyDescent="0.25">
      <c r="C18" s="56" t="str">
        <f>IF('KP LBG'!A16="","",'KP LBG'!A16)</f>
        <v xml:space="preserve"> 14400</v>
      </c>
      <c r="D18" s="56" t="str">
        <f>IF('KP LBG'!B16="","",'KP LBG'!B16)</f>
        <v>Vorräte Forstwirtschaft</v>
      </c>
      <c r="E18"/>
      <c r="F18" s="56" t="str">
        <f>IF('KP LBG'!A69="","",'KP LBG'!A69)</f>
        <v xml:space="preserve"> 50180</v>
      </c>
      <c r="G18" s="56" t="str">
        <f>IF('KP LBG'!B69="","",'KP LBG'!B69)</f>
        <v>sonstiger Bodennutzungsaufwand</v>
      </c>
    </row>
    <row r="19" spans="3:7" s="49" customFormat="1" ht="12.75" customHeight="1" x14ac:dyDescent="0.25">
      <c r="C19" s="56"/>
      <c r="D19" s="56"/>
      <c r="E19"/>
      <c r="F19" s="56" t="str">
        <f>IF('KP LBG'!A70="","",'KP LBG'!A70)</f>
        <v xml:space="preserve"> 53050</v>
      </c>
      <c r="G19" s="56" t="str">
        <f>IF('KP LBG'!B70="","",'KP LBG'!B70)</f>
        <v>Viehwirtschaft</v>
      </c>
    </row>
    <row r="20" spans="3:7" s="49" customFormat="1" ht="12.75" customHeight="1" x14ac:dyDescent="0.25">
      <c r="C20" s="61" t="s">
        <v>85</v>
      </c>
      <c r="D20" s="62" t="s">
        <v>86</v>
      </c>
      <c r="E20"/>
      <c r="F20" s="56" t="str">
        <f>IF('KP LBG'!A71="","",'KP LBG'!A71)</f>
        <v xml:space="preserve"> 53105</v>
      </c>
      <c r="G20" s="56" t="str">
        <f>IF('KP LBG'!B71="","",'KP LBG'!B71)</f>
        <v>Rinder</v>
      </c>
    </row>
    <row r="21" spans="3:7" s="49" customFormat="1" ht="12.75" customHeight="1" x14ac:dyDescent="0.25">
      <c r="C21" s="56" t="str">
        <f>IF('KP LBG'!A17="","",'KP LBG'!A17)</f>
        <v xml:space="preserve"> 20000</v>
      </c>
      <c r="D21" s="56" t="str">
        <f>IF('KP LBG'!B17="","",'KP LBG'!B17)</f>
        <v>Lieferforderungen (Sammelkonto)</v>
      </c>
      <c r="E21"/>
      <c r="F21" s="56" t="str">
        <f>IF('KP LBG'!A72="","",'KP LBG'!A72)</f>
        <v xml:space="preserve"> 53205</v>
      </c>
      <c r="G21" s="56" t="str">
        <f>IF('KP LBG'!B72="","",'KP LBG'!B72)</f>
        <v>Schafe</v>
      </c>
    </row>
    <row r="22" spans="3:7" s="49" customFormat="1" ht="12.75" customHeight="1" x14ac:dyDescent="0.25">
      <c r="C22" s="56" t="str">
        <f>IF('KP LBG'!A18="","",'KP LBG'!A18)</f>
        <v xml:space="preserve"> 200001</v>
      </c>
      <c r="D22" s="56" t="str">
        <f>IF('KP LBG'!B18="","",'KP LBG'!B18)</f>
        <v>Tiroler Schafzuchtverband (TSV)</v>
      </c>
      <c r="E22"/>
      <c r="F22" s="56" t="str">
        <f>IF('KP LBG'!A73="","",'KP LBG'!A73)</f>
        <v xml:space="preserve"> 53800</v>
      </c>
      <c r="G22" s="56" t="str">
        <f>IF('KP LBG'!B73="","",'KP LBG'!B73)</f>
        <v>Sonstige Tiere</v>
      </c>
    </row>
    <row r="23" spans="3:7" s="49" customFormat="1" ht="12.75" customHeight="1" x14ac:dyDescent="0.25">
      <c r="C23" s="56" t="str">
        <f>IF('KP LBG'!A19="","",'KP LBG'!A19)</f>
        <v xml:space="preserve"> 200002</v>
      </c>
      <c r="D23" s="56" t="str">
        <f>IF('KP LBG'!B19="","",'KP LBG'!B19)</f>
        <v>Metzger Müller</v>
      </c>
      <c r="E23"/>
      <c r="F23" s="56" t="str">
        <f>IF('KP LBG'!A74="","",'KP LBG'!A74)</f>
        <v xml:space="preserve"> 53900</v>
      </c>
      <c r="G23" s="56" t="str">
        <f>IF('KP LBG'!B74="","",'KP LBG'!B74)</f>
        <v>Viehwirtschaft - Kraftfutter</v>
      </c>
    </row>
    <row r="24" spans="3:7" s="49" customFormat="1" ht="12.75" customHeight="1" x14ac:dyDescent="0.25">
      <c r="C24" s="56" t="str">
        <f>IF('KP LBG'!A20="","",'KP LBG'!A20)</f>
        <v xml:space="preserve"> 200003</v>
      </c>
      <c r="D24" s="56" t="str">
        <f>IF('KP LBG'!B20="","",'KP LBG'!B20)</f>
        <v>Kunde XY</v>
      </c>
      <c r="E24"/>
      <c r="F24" s="56" t="str">
        <f>IF('KP LBG'!A75="","",'KP LBG'!A75)</f>
        <v xml:space="preserve"> 53960</v>
      </c>
      <c r="G24" s="56" t="str">
        <f>IF('KP LBG'!B75="","",'KP LBG'!B75)</f>
        <v>Sonstiger Tierhaltungsaufwand</v>
      </c>
    </row>
    <row r="25" spans="3:7" s="49" customFormat="1" ht="12.75" customHeight="1" x14ac:dyDescent="0.25">
      <c r="C25" s="56" t="str">
        <f>IF('KP LBG'!A21="","",'KP LBG'!A21)</f>
        <v xml:space="preserve"> 200004</v>
      </c>
      <c r="D25" s="56" t="str">
        <f>IF('KP LBG'!B21="","",'KP LBG'!B21)</f>
        <v>Kunde XY</v>
      </c>
      <c r="E25"/>
      <c r="F25" s="56" t="str">
        <f>IF('KP LBG'!A76="","",'KP LBG'!A76)</f>
        <v xml:space="preserve"> 55650</v>
      </c>
      <c r="G25" s="56" t="str">
        <f>IF('KP LBG'!B76="","",'KP LBG'!B76)</f>
        <v>Ausgaben für Direktvermarktung</v>
      </c>
    </row>
    <row r="26" spans="3:7" s="49" customFormat="1" ht="12.75" customHeight="1" x14ac:dyDescent="0.25">
      <c r="C26" s="56" t="str">
        <f>IF('KP LBG'!A22="","",'KP LBG'!A22)</f>
        <v xml:space="preserve"> 200005</v>
      </c>
      <c r="D26" s="56" t="str">
        <f>IF('KP LBG'!B22="","",'KP LBG'!B22)</f>
        <v>Lieferforderungen Molkerei</v>
      </c>
      <c r="E26"/>
      <c r="F26" s="56" t="str">
        <f>IF('KP LBG'!A77="","",'KP LBG'!A77)</f>
        <v xml:space="preserve"> 56015</v>
      </c>
      <c r="G26" s="56" t="str">
        <f>IF('KP LBG'!B77="","",'KP LBG'!B77)</f>
        <v>Treibstoff Diesel</v>
      </c>
    </row>
    <row r="27" spans="3:7" s="49" customFormat="1" ht="12.75" customHeight="1" x14ac:dyDescent="0.25">
      <c r="C27" s="56" t="str">
        <f>IF('KP LBG'!A23="","",'KP LBG'!A23)</f>
        <v xml:space="preserve"> 200006</v>
      </c>
      <c r="D27" s="56" t="str">
        <f>IF('KP LBG'!B23="","",'KP LBG'!B23)</f>
        <v>Lieferforderungen Landesproduktenhändler</v>
      </c>
      <c r="E27"/>
      <c r="F27" s="56" t="str">
        <f>IF('KP LBG'!A78="","",'KP LBG'!A78)</f>
        <v xml:space="preserve"> 56100</v>
      </c>
      <c r="G27" s="56" t="str">
        <f>IF('KP LBG'!B78="","",'KP LBG'!B78)</f>
        <v>Strom</v>
      </c>
    </row>
    <row r="28" spans="3:7" s="49" customFormat="1" ht="12.75" customHeight="1" x14ac:dyDescent="0.25">
      <c r="C28" s="56" t="str">
        <f>IF('KP LBG'!A24="","",'KP LBG'!A24)</f>
        <v xml:space="preserve"> 23000</v>
      </c>
      <c r="D28" s="56" t="str">
        <f>IF('KP LBG'!B24="","",'KP LBG'!B24)</f>
        <v>Sonstige Forderungen</v>
      </c>
      <c r="E28"/>
      <c r="F28" s="56" t="str">
        <f>IF('KP LBG'!A79="","",'KP LBG'!A79)</f>
        <v xml:space="preserve"> 56150</v>
      </c>
      <c r="G28" s="56" t="str">
        <f>IF('KP LBG'!B79="","",'KP LBG'!B79)</f>
        <v>Heizung, Gas, Energie</v>
      </c>
    </row>
    <row r="29" spans="3:7" s="49" customFormat="1" ht="12.75" customHeight="1" x14ac:dyDescent="0.25">
      <c r="C29" s="56" t="str">
        <f>IF('KP LBG'!A25="","",'KP LBG'!A25)</f>
        <v xml:space="preserve"> 25000</v>
      </c>
      <c r="D29" s="56" t="str">
        <f>IF('KP LBG'!B25="","",'KP LBG'!B25)</f>
        <v>Vorsteuer</v>
      </c>
      <c r="E29"/>
      <c r="F29" s="56" t="str">
        <f>IF('KP LBG'!A80="","",'KP LBG'!A80)</f>
        <v xml:space="preserve"> 56200</v>
      </c>
      <c r="G29" s="56" t="str">
        <f>IF('KP LBG'!B80="","",'KP LBG'!B80)</f>
        <v>Wasser und Kanalgebühren</v>
      </c>
    </row>
    <row r="30" spans="3:7" s="49" customFormat="1" ht="12.75" customHeight="1" x14ac:dyDescent="0.25">
      <c r="C30" s="56" t="str">
        <f>IF('KP LBG'!A26="","",'KP LBG'!A26)</f>
        <v xml:space="preserve"> 27000</v>
      </c>
      <c r="D30" s="56" t="str">
        <f>IF('KP LBG'!B26="","",'KP LBG'!B26)</f>
        <v>Kassa</v>
      </c>
      <c r="E30"/>
      <c r="F30" s="56" t="str">
        <f>IF('KP LBG'!A81="","",'KP LBG'!A81)</f>
        <v xml:space="preserve"> 57100</v>
      </c>
      <c r="G30" s="56" t="str">
        <f>IF('KP LBG'!B81="","",'KP LBG'!B81)</f>
        <v>Transport- und Maschinenleistungen</v>
      </c>
    </row>
    <row r="31" spans="3:7" s="49" customFormat="1" ht="12.75" customHeight="1" x14ac:dyDescent="0.25">
      <c r="C31" s="56" t="str">
        <f>IF('KP LBG'!A27="","",'KP LBG'!A27)</f>
        <v xml:space="preserve"> 28000</v>
      </c>
      <c r="D31" s="56" t="str">
        <f>IF('KP LBG'!B27="","",'KP LBG'!B27)</f>
        <v>Bank - betrieblich 1</v>
      </c>
      <c r="E31"/>
      <c r="F31" s="56" t="str">
        <f>IF('KP LBG'!A82="","",'KP LBG'!A82)</f>
        <v xml:space="preserve"> 57210</v>
      </c>
      <c r="G31" s="56" t="str">
        <f>IF('KP LBG'!B82="","",'KP LBG'!B82)</f>
        <v>Fremdleistung Tiergesundheit</v>
      </c>
    </row>
    <row r="32" spans="3:7" s="49" customFormat="1" ht="12.75" customHeight="1" x14ac:dyDescent="0.25">
      <c r="C32" s="56" t="str">
        <f>IF('KP LBG'!A28="","",'KP LBG'!A28)</f>
        <v xml:space="preserve"> 29000</v>
      </c>
      <c r="D32" s="56" t="str">
        <f>IF('KP LBG'!B28="","",'KP LBG'!B28)</f>
        <v>aktive Rechnungsabgrenzungsposten</v>
      </c>
      <c r="E32"/>
      <c r="F32" s="56"/>
      <c r="G32" s="56"/>
    </row>
    <row r="33" spans="3:7" s="49" customFormat="1" ht="12.75" customHeight="1" x14ac:dyDescent="0.25">
      <c r="C33" s="56"/>
      <c r="D33" s="56"/>
      <c r="E33"/>
      <c r="F33" s="63" t="s">
        <v>87</v>
      </c>
      <c r="G33" s="64" t="s">
        <v>88</v>
      </c>
    </row>
    <row r="34" spans="3:7" s="49" customFormat="1" ht="12.75" customHeight="1" x14ac:dyDescent="0.25">
      <c r="C34" s="65" t="s">
        <v>89</v>
      </c>
      <c r="D34" s="66" t="s">
        <v>90</v>
      </c>
      <c r="E34"/>
      <c r="F34" s="56" t="str">
        <f>IF('KP LBG'!A84="","",'KP LBG'!A84)</f>
        <v xml:space="preserve"> 60000</v>
      </c>
      <c r="G34" s="56" t="str">
        <f>IF('KP LBG'!B84="","",'KP LBG'!B84)</f>
        <v>Löhne</v>
      </c>
    </row>
    <row r="35" spans="3:7" s="49" customFormat="1" ht="12.75" customHeight="1" x14ac:dyDescent="0.25">
      <c r="C35" s="56" t="str">
        <f>IF('KP LBG'!A29="","",'KP LBG'!A29)</f>
        <v xml:space="preserve"> 31510</v>
      </c>
      <c r="D35" s="56" t="str">
        <f>IF('KP LBG'!B29="","",'KP LBG'!B29)</f>
        <v>Darlehen - betrieblich</v>
      </c>
      <c r="E35"/>
      <c r="F35" s="56" t="str">
        <f>IF('KP LBG'!A85="","",'KP LBG'!A85)</f>
        <v xml:space="preserve"> 60900</v>
      </c>
      <c r="G35" s="56" t="str">
        <f>IF('KP LBG'!B85="","",'KP LBG'!B85)</f>
        <v>Sachbezüge (Arbeiter)</v>
      </c>
    </row>
    <row r="36" spans="3:7" s="49" customFormat="1" ht="12.75" customHeight="1" x14ac:dyDescent="0.25">
      <c r="C36" s="56" t="str">
        <f>IF('KP LBG'!A30="","",'KP LBG'!A30)</f>
        <v xml:space="preserve"> 31610</v>
      </c>
      <c r="D36" s="56" t="str">
        <f>IF('KP LBG'!B30="","",'KP LBG'!B30)</f>
        <v>AIK</v>
      </c>
      <c r="E36"/>
      <c r="F36" s="56" t="str">
        <f>IF('KP LBG'!A86="","",'KP LBG'!A86)</f>
        <v xml:space="preserve"> 66100</v>
      </c>
      <c r="G36" s="56" t="str">
        <f>IF('KP LBG'!B86="","",'KP LBG'!B86)</f>
        <v>Lohnsteuer</v>
      </c>
    </row>
    <row r="37" spans="3:7" s="49" customFormat="1" ht="12.75" customHeight="1" x14ac:dyDescent="0.25">
      <c r="C37" s="56" t="str">
        <f>IF('KP LBG'!A31="","",'KP LBG'!A31)</f>
        <v xml:space="preserve"> 31700</v>
      </c>
      <c r="D37" s="56" t="str">
        <f>IF('KP LBG'!B31="","",'KP LBG'!B31)</f>
        <v>Darlehen privat</v>
      </c>
      <c r="E37"/>
      <c r="F37" s="56" t="str">
        <f>IF('KP LBG'!A87="","",'KP LBG'!A87)</f>
        <v xml:space="preserve"> 67500</v>
      </c>
      <c r="G37" s="56" t="str">
        <f>IF('KP LBG'!B87="","",'KP LBG'!B87)</f>
        <v>Arbeitskleidung</v>
      </c>
    </row>
    <row r="38" spans="3:7" s="49" customFormat="1" ht="12.75" customHeight="1" x14ac:dyDescent="0.25">
      <c r="C38" s="56" t="str">
        <f>IF('KP LBG'!A32="","",'KP LBG'!A32)</f>
        <v xml:space="preserve"> 33000</v>
      </c>
      <c r="D38" s="56" t="str">
        <f>IF('KP LBG'!B32="","",'KP LBG'!B32)</f>
        <v>Lieferverbindlichkeiten Inland</v>
      </c>
      <c r="E38"/>
      <c r="F38" s="53"/>
    </row>
    <row r="39" spans="3:7" s="49" customFormat="1" ht="12.75" customHeight="1" x14ac:dyDescent="0.25">
      <c r="C39" s="56" t="str">
        <f>IF('KP LBG'!A33="","",'KP LBG'!A33)</f>
        <v xml:space="preserve"> 330001</v>
      </c>
      <c r="D39" s="56" t="str">
        <f>IF('KP LBG'!B33="","",'KP LBG'!B33)</f>
        <v>Maschinenring Imst</v>
      </c>
      <c r="E39"/>
      <c r="F39" s="67" t="s">
        <v>91</v>
      </c>
      <c r="G39" s="68" t="s">
        <v>92</v>
      </c>
    </row>
    <row r="40" spans="3:7" s="49" customFormat="1" ht="12.75" customHeight="1" x14ac:dyDescent="0.25">
      <c r="C40" s="56" t="str">
        <f>IF('KP LBG'!A34="","",'KP LBG'!A34)</f>
        <v xml:space="preserve"> 330002</v>
      </c>
      <c r="D40" s="56" t="str">
        <f>IF('KP LBG'!B34="","",'KP LBG'!B34)</f>
        <v>Landmaschinenhändler</v>
      </c>
      <c r="E40"/>
      <c r="F40" s="56" t="str">
        <f>IF('KP LBG'!A88="","",'KP LBG'!A88)</f>
        <v xml:space="preserve"> 70200</v>
      </c>
      <c r="G40" s="56" t="str">
        <f>IF('KP LBG'!B88="","",'KP LBG'!B88)</f>
        <v>Abschreibung Sachanlagevermögen</v>
      </c>
    </row>
    <row r="41" spans="3:7" s="49" customFormat="1" ht="12.75" customHeight="1" x14ac:dyDescent="0.25">
      <c r="C41" s="56" t="str">
        <f>IF('KP LBG'!A35="","",'KP LBG'!A35)</f>
        <v xml:space="preserve"> 330003</v>
      </c>
      <c r="D41" s="56" t="str">
        <f>IF('KP LBG'!B35="","",'KP LBG'!B35)</f>
        <v>Lieferant XY</v>
      </c>
      <c r="E41"/>
      <c r="F41" s="56" t="str">
        <f>IF('KP LBG'!A89="","",'KP LBG'!A89)</f>
        <v xml:space="preserve"> 70210</v>
      </c>
      <c r="G41" s="56" t="str">
        <f>IF('KP LBG'!B89="","",'KP LBG'!B89)</f>
        <v>geringwertiges Sachanlagevermögen GWG</v>
      </c>
    </row>
    <row r="42" spans="3:7" s="49" customFormat="1" ht="12.75" customHeight="1" x14ac:dyDescent="0.25">
      <c r="C42" s="56" t="str">
        <f>IF('KP LBG'!A36="","",'KP LBG'!A36)</f>
        <v xml:space="preserve"> 330004</v>
      </c>
      <c r="D42" s="56" t="str">
        <f>IF('KP LBG'!B36="","",'KP LBG'!B36)</f>
        <v>Lieferant XY</v>
      </c>
      <c r="E42"/>
      <c r="F42" s="56" t="str">
        <f>IF('KP LBG'!A90="","",'KP LBG'!A90)</f>
        <v xml:space="preserve"> 71800</v>
      </c>
      <c r="G42" s="56" t="str">
        <f>IF('KP LBG'!B90="","",'KP LBG'!B90)</f>
        <v>Sonstige Gebühren und Abgaben</v>
      </c>
    </row>
    <row r="43" spans="3:7" s="49" customFormat="1" ht="12.75" customHeight="1" x14ac:dyDescent="0.25">
      <c r="C43" s="56" t="str">
        <f>IF('KP LBG'!A37="","",'KP LBG'!A37)</f>
        <v xml:space="preserve"> 35000</v>
      </c>
      <c r="D43" s="56" t="str">
        <f>IF('KP LBG'!B37="","",'KP LBG'!B37)</f>
        <v>Umsatzsteuer</v>
      </c>
      <c r="E43"/>
      <c r="F43" s="56" t="str">
        <f>IF('KP LBG'!A91="","",'KP LBG'!A91)</f>
        <v xml:space="preserve"> 72000</v>
      </c>
      <c r="G43" s="56" t="str">
        <f>IF('KP LBG'!B91="","",'KP LBG'!B91)</f>
        <v>Instandhaltung</v>
      </c>
    </row>
    <row r="44" spans="3:7" s="49" customFormat="1" ht="12.75" customHeight="1" x14ac:dyDescent="0.25">
      <c r="C44" s="56" t="str">
        <f>IF('KP LBG'!A38="","",'KP LBG'!A38)</f>
        <v xml:space="preserve"> 37000</v>
      </c>
      <c r="D44" s="56" t="str">
        <f>IF('KP LBG'!B38="","",'KP LBG'!B38)</f>
        <v>übrige sonstige Verbindlichkeiten</v>
      </c>
      <c r="E44"/>
      <c r="F44" s="56" t="str">
        <f>IF('KP LBG'!A92="","",'KP LBG'!A92)</f>
        <v xml:space="preserve"> 73800</v>
      </c>
      <c r="G44" s="56" t="str">
        <f>IF('KP LBG'!B92="","",'KP LBG'!B92)</f>
        <v>Telefon und Internet</v>
      </c>
    </row>
    <row r="45" spans="3:7" s="49" customFormat="1" ht="12.75" customHeight="1" x14ac:dyDescent="0.25">
      <c r="C45" s="56" t="str">
        <f>IF('KP LBG'!A39="","",'KP LBG'!A39)</f>
        <v xml:space="preserve"> 39000</v>
      </c>
      <c r="D45" s="56" t="str">
        <f>IF('KP LBG'!B39="","",'KP LBG'!B39)</f>
        <v>Passive Rechnungsabgrenzungsposten</v>
      </c>
      <c r="E45"/>
      <c r="F45" s="56" t="str">
        <f>IF('KP LBG'!A93="","",'KP LBG'!A93)</f>
        <v xml:space="preserve"> 73900</v>
      </c>
      <c r="G45" s="56" t="str">
        <f>IF('KP LBG'!B93="","",'KP LBG'!B93)</f>
        <v>Postgebühren</v>
      </c>
    </row>
    <row r="46" spans="3:7" s="49" customFormat="1" ht="12.75" customHeight="1" x14ac:dyDescent="0.25">
      <c r="C46" s="56"/>
      <c r="D46" s="56"/>
      <c r="E46"/>
      <c r="F46" s="56" t="str">
        <f>IF('KP LBG'!A94="","",'KP LBG'!A94)</f>
        <v xml:space="preserve"> 77000</v>
      </c>
      <c r="G46" s="56" t="str">
        <f>IF('KP LBG'!B94="","",'KP LBG'!B94)</f>
        <v>Sachversicherungen</v>
      </c>
    </row>
    <row r="47" spans="3:7" s="49" customFormat="1" ht="12.75" customHeight="1" x14ac:dyDescent="0.25">
      <c r="C47" s="69" t="s">
        <v>93</v>
      </c>
      <c r="D47" s="70" t="s">
        <v>94</v>
      </c>
      <c r="E47"/>
      <c r="F47" s="56" t="str">
        <f>IF('KP LBG'!A95="","",'KP LBG'!A95)</f>
        <v xml:space="preserve"> 78400</v>
      </c>
      <c r="G47" s="56" t="str">
        <f>IF('KP LBG'!B95="","",'KP LBG'!B95)</f>
        <v>sonstige betriebliche Aufwendungen</v>
      </c>
    </row>
    <row r="48" spans="3:7" s="49" customFormat="1" ht="12.75" customHeight="1" x14ac:dyDescent="0.25">
      <c r="C48" s="56" t="str">
        <f>IF('KP LBG'!A40="","",'KP LBG'!A40)</f>
        <v xml:space="preserve"> 40020</v>
      </c>
      <c r="D48" s="56" t="str">
        <f>IF('KP LBG'!B40="","",'KP LBG'!B40)</f>
        <v>Einnahmen Getreide</v>
      </c>
      <c r="E48"/>
      <c r="F48" s="56" t="str">
        <f>IF('KP LBG'!A96="","",'KP LBG'!A96)</f>
        <v xml:space="preserve"> 79000</v>
      </c>
      <c r="G48" s="56" t="str">
        <f>IF('KP LBG'!B96="","",'KP LBG'!B96)</f>
        <v>Ausgedinge, Leibrentenzahlung</v>
      </c>
    </row>
    <row r="49" spans="3:7" s="49" customFormat="1" ht="12.75" customHeight="1" x14ac:dyDescent="0.25">
      <c r="C49" s="56" t="str">
        <f>IF('KP LBG'!A41="","",'KP LBG'!A41)</f>
        <v xml:space="preserve"> 40210</v>
      </c>
      <c r="D49" s="56" t="str">
        <f>IF('KP LBG'!B41="","",'KP LBG'!B41)</f>
        <v>Einnahmen Hackfrüchte</v>
      </c>
      <c r="E49"/>
      <c r="F49" s="56"/>
      <c r="G49" s="56"/>
    </row>
    <row r="50" spans="3:7" s="49" customFormat="1" ht="12.75" customHeight="1" x14ac:dyDescent="0.25">
      <c r="C50" s="56" t="str">
        <f>IF('KP LBG'!A42="","",'KP LBG'!A42)</f>
        <v xml:space="preserve"> 40410</v>
      </c>
      <c r="D50" s="56" t="str">
        <f>IF('KP LBG'!B42="","",'KP LBG'!B42)</f>
        <v>Einnahmen Futterbauerzeugnisse - Ackerfutterbau</v>
      </c>
      <c r="E50"/>
      <c r="F50" s="67" t="s">
        <v>95</v>
      </c>
      <c r="G50" s="70" t="s">
        <v>96</v>
      </c>
    </row>
    <row r="51" spans="3:7" s="49" customFormat="1" ht="12.75" customHeight="1" x14ac:dyDescent="0.25">
      <c r="C51" s="56" t="str">
        <f>IF('KP LBG'!A43="","",'KP LBG'!A43)</f>
        <v xml:space="preserve"> 40415</v>
      </c>
      <c r="D51" s="56" t="str">
        <f>IF('KP LBG'!B43="","",'KP LBG'!B43)</f>
        <v>Einnahmen Ackerfutterbau</v>
      </c>
      <c r="E51"/>
      <c r="F51" s="56" t="str">
        <f>IF('KP LBG'!A97="","",'KP LBG'!A97)</f>
        <v xml:space="preserve"> 81000</v>
      </c>
      <c r="G51" s="56" t="str">
        <f>IF('KP LBG'!B97="","",'KP LBG'!B97)</f>
        <v>Zinserträge aus Bankguthaben</v>
      </c>
    </row>
    <row r="52" spans="3:7" s="49" customFormat="1" ht="12.75" customHeight="1" x14ac:dyDescent="0.25">
      <c r="C52" s="56" t="str">
        <f>IF('KP LBG'!A44="","",'KP LBG'!A44)</f>
        <v xml:space="preserve"> 40710</v>
      </c>
      <c r="D52" s="56" t="str">
        <f>IF('KP LBG'!B44="","",'KP LBG'!B44)</f>
        <v>Einnahmen Obstbau</v>
      </c>
      <c r="E52"/>
      <c r="F52" s="56" t="str">
        <f>IF('KP LBG'!A98="","",'KP LBG'!A98)</f>
        <v xml:space="preserve"> 82800</v>
      </c>
      <c r="G52" s="56" t="str">
        <f>IF('KP LBG'!B98="","",'KP LBG'!B98)</f>
        <v>Zinsen für Bankkredite</v>
      </c>
    </row>
    <row r="53" spans="3:7" s="49" customFormat="1" ht="12.75" customHeight="1" x14ac:dyDescent="0.25">
      <c r="C53" s="56" t="str">
        <f>IF('KP LBG'!A45="","",'KP LBG'!A45)</f>
        <v xml:space="preserve"> 40770</v>
      </c>
      <c r="D53" s="56" t="str">
        <f>IF('KP LBG'!B45="","",'KP LBG'!B45)</f>
        <v>Einnahmen Obst - Obstprodukte</v>
      </c>
      <c r="E53"/>
      <c r="F53" s="56" t="str">
        <f>IF('KP LBG'!A99="","",'KP LBG'!A99)</f>
        <v xml:space="preserve"> 84000</v>
      </c>
      <c r="G53" s="56" t="str">
        <f>IF('KP LBG'!B99="","",'KP LBG'!B99)</f>
        <v>außerordentliche Erträge</v>
      </c>
    </row>
    <row r="54" spans="3:7" s="49" customFormat="1" ht="12.75" customHeight="1" x14ac:dyDescent="0.25">
      <c r="C54" s="56" t="str">
        <f>IF('KP LBG'!A46="","",'KP LBG'!A46)</f>
        <v xml:space="preserve"> 41220</v>
      </c>
      <c r="D54" s="56" t="str">
        <f>IF('KP LBG'!B46="","",'KP LBG'!B46)</f>
        <v>Einnahmen Rinder</v>
      </c>
      <c r="E54"/>
      <c r="F54" s="56" t="str">
        <f>IF('KP LBG'!A100="","",'KP LBG'!A100)</f>
        <v xml:space="preserve"> 84500</v>
      </c>
      <c r="G54" s="56" t="str">
        <f>IF('KP LBG'!B100="","",'KP LBG'!B100)</f>
        <v>außerordentliche Aufwendungen</v>
      </c>
    </row>
    <row r="55" spans="3:7" s="49" customFormat="1" ht="12.75" customHeight="1" x14ac:dyDescent="0.25">
      <c r="C55" s="56" t="str">
        <f>IF('KP LBG'!A47="","",'KP LBG'!A47)</f>
        <v xml:space="preserve"> 41240</v>
      </c>
      <c r="D55" s="56" t="str">
        <f>IF('KP LBG'!B47="","",'KP LBG'!B47)</f>
        <v>Einnahmen Milchkühe</v>
      </c>
      <c r="E55"/>
      <c r="F55" s="56"/>
      <c r="G55" s="56"/>
    </row>
    <row r="56" spans="3:7" s="49" customFormat="1" ht="12.75" customHeight="1" x14ac:dyDescent="0.25">
      <c r="C56" s="56" t="str">
        <f>IF('KP LBG'!A48="","",'KP LBG'!A48)</f>
        <v xml:space="preserve"> 41400</v>
      </c>
      <c r="D56" s="56" t="str">
        <f>IF('KP LBG'!B48="","",'KP LBG'!B48)</f>
        <v>Einnahmen Schafe</v>
      </c>
      <c r="E56"/>
      <c r="F56" s="71" t="s">
        <v>97</v>
      </c>
      <c r="G56" s="72" t="s">
        <v>98</v>
      </c>
    </row>
    <row r="57" spans="3:7" s="49" customFormat="1" ht="12.75" customHeight="1" x14ac:dyDescent="0.25">
      <c r="C57" s="56" t="str">
        <f>IF('KP LBG'!A49="","",'KP LBG'!A49)</f>
        <v xml:space="preserve"> 41830</v>
      </c>
      <c r="D57" s="56" t="str">
        <f>IF('KP LBG'!B49="","",'KP LBG'!B49)</f>
        <v>Einnahmen Viehwirtschaft - Sonstige Tiere</v>
      </c>
      <c r="E57"/>
      <c r="F57" s="56" t="str">
        <f>IF('KP LBG'!A101="","",'KP LBG'!A101)</f>
        <v xml:space="preserve"> 90000</v>
      </c>
      <c r="G57" s="56" t="str">
        <f>IF('KP LBG'!B101="","",'KP LBG'!B101)</f>
        <v>Kapital</v>
      </c>
    </row>
    <row r="58" spans="3:7" s="49" customFormat="1" ht="12.75" customHeight="1" x14ac:dyDescent="0.25">
      <c r="C58" s="56" t="str">
        <f>IF('KP LBG'!A50="","",'KP LBG'!A50)</f>
        <v xml:space="preserve"> 41900</v>
      </c>
      <c r="D58" s="56" t="str">
        <f>IF('KP LBG'!B50="","",'KP LBG'!B50)</f>
        <v>Einnahmen Forstwirtschaft</v>
      </c>
      <c r="E58"/>
      <c r="F58" s="56" t="str">
        <f>IF('KP LBG'!A102="","",'KP LBG'!A102)</f>
        <v xml:space="preserve"> 96000</v>
      </c>
      <c r="G58" s="56" t="str">
        <f>IF('KP LBG'!B102="","",'KP LBG'!B102)</f>
        <v>Privat</v>
      </c>
    </row>
    <row r="59" spans="3:7" s="49" customFormat="1" ht="12.75" customHeight="1" x14ac:dyDescent="0.25">
      <c r="C59" s="56" t="str">
        <f>IF('KP LBG'!A51="","",'KP LBG'!A51)</f>
        <v xml:space="preserve"> 45600</v>
      </c>
      <c r="D59" s="56" t="str">
        <f>IF('KP LBG'!B51="","",'KP LBG'!B51)</f>
        <v>Bestandsveränderungen Vieh</v>
      </c>
      <c r="E59"/>
      <c r="F59" s="56" t="str">
        <f>IF('KP LBG'!A103="","",'KP LBG'!A103)</f>
        <v xml:space="preserve"> 98000</v>
      </c>
      <c r="G59" s="56" t="str">
        <f>IF('KP LBG'!B103="","",'KP LBG'!B103)</f>
        <v>Eröffnungsbilanzkonto (EBK)</v>
      </c>
    </row>
    <row r="60" spans="3:7" s="49" customFormat="1" ht="12.75" customHeight="1" x14ac:dyDescent="0.25">
      <c r="C60" s="56" t="str">
        <f>IF('KP LBG'!A52="","",'KP LBG'!A52)</f>
        <v xml:space="preserve"> 45650</v>
      </c>
      <c r="D60" s="56" t="str">
        <f>IF('KP LBG'!B52="","",'KP LBG'!B52)</f>
        <v>Bestandsveränderungen tierische Produkte</v>
      </c>
      <c r="E60"/>
      <c r="F60" s="56" t="str">
        <f>IF('KP LBG'!A104="","",'KP LBG'!A104)</f>
        <v xml:space="preserve"> 98500</v>
      </c>
      <c r="G60" s="56" t="str">
        <f>IF('KP LBG'!B104="","",'KP LBG'!B104)</f>
        <v>Schlussbilanzkonto (SBK)</v>
      </c>
    </row>
    <row r="61" spans="3:7" s="49" customFormat="1" ht="12.75" customHeight="1" x14ac:dyDescent="0.25">
      <c r="C61" s="56" t="str">
        <f>IF('KP LBG'!A53="","",'KP LBG'!A53)</f>
        <v xml:space="preserve"> 45700</v>
      </c>
      <c r="D61" s="56" t="str">
        <f>IF('KP LBG'!B53="","",'KP LBG'!B53)</f>
        <v>Bestandsveränderungen Erzeugnisse Forstwirtschaft</v>
      </c>
      <c r="E61"/>
      <c r="F61" s="56" t="str">
        <f>IF('KP LBG'!A105="","",'KP LBG'!A105)</f>
        <v xml:space="preserve"> 98900</v>
      </c>
      <c r="G61" s="56" t="str">
        <f>IF('KP LBG'!B105="","",'KP LBG'!B105)</f>
        <v>Gewinn- und Verlustkonto (GuV)</v>
      </c>
    </row>
    <row r="62" spans="3:7" s="49" customFormat="1" ht="12.75" customHeight="1" x14ac:dyDescent="0.25">
      <c r="C62" s="56" t="str">
        <f>IF('KP LBG'!A54="","",'KP LBG'!A54)</f>
        <v xml:space="preserve"> 46000</v>
      </c>
      <c r="D62" s="56" t="str">
        <f>IF('KP LBG'!B54="","",'KP LBG'!B54)</f>
        <v>Einnahmen aus dem Abgang von Anlagen</v>
      </c>
      <c r="E62"/>
      <c r="F62" s="56" t="str">
        <f>IF('KP LBG'!A106="","",'KP LBG'!A106)</f>
        <v xml:space="preserve"> 98900</v>
      </c>
      <c r="G62" s="56" t="str">
        <f>IF('KP LBG'!B106="","",'KP LBG'!B106)</f>
        <v>Gewinn aktuelles Jahr (ausgegliedertes Gegenkonto)</v>
      </c>
    </row>
    <row r="63" spans="3:7" s="49" customFormat="1" ht="12.75" customHeight="1" x14ac:dyDescent="0.25">
      <c r="C63" s="56" t="str">
        <f>IF('KP LBG'!A55="","",'KP LBG'!A55)</f>
        <v xml:space="preserve"> 48030</v>
      </c>
      <c r="D63" s="56" t="str">
        <f>IF('KP LBG'!B55="","",'KP LBG'!B55)</f>
        <v>Sonstige betriebliche Erträge</v>
      </c>
      <c r="E63"/>
      <c r="F63" s="56" t="str">
        <f>IF('KP LBG'!A107="","",'KP LBG'!A107)</f>
        <v xml:space="preserve"> 98910</v>
      </c>
      <c r="G63" s="56" t="str">
        <f>IF('KP LBG'!B107="","",'KP LBG'!B107)</f>
        <v>Verlust aktuelles Jahr (ausgegliedertes Gegenkonto)</v>
      </c>
    </row>
    <row r="64" spans="3:7" x14ac:dyDescent="0.25"/>
  </sheetData>
  <sheetProtection algorithmName="SHA-512" hashValue="QUZw9S7T/MXpa/fwZazs48+lwJ7hgc0sghF1kTXAj23XUr7BcPqgqNYhvAh2sB4+h3oFmZUOcLdsNXp4wMyQFQ==" saltValue="cvEy4IiSE5RS46ckuIdVIA==" spinCount="100000" sheet="1" objects="1" scenarios="1"/>
  <pageMargins left="0.39370078740157483" right="0.39370078740157483" top="1.1811023622047245" bottom="0.59055118110236227" header="0.39370078740157483" footer="0.31496062992125984"/>
  <pageSetup paperSize="9" scale="85" orientation="portrait" blackAndWhite="1" r:id="rId1"/>
  <headerFooter>
    <oddHeader>&amp;L&amp;G</oddHeader>
    <oddFooter>&amp;R&amp;"+,Fett"&amp;8Seite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07"/>
  <sheetViews>
    <sheetView showGridLines="0" showRowColHeaders="0" workbookViewId="0">
      <pane ySplit="3" topLeftCell="A4" activePane="bottomLeft" state="frozen"/>
      <selection activeCell="CZ9" sqref="CZ9"/>
      <selection pane="bottomLeft" activeCell="CZ9" sqref="CZ9"/>
    </sheetView>
  </sheetViews>
  <sheetFormatPr baseColWidth="10" defaultColWidth="0" defaultRowHeight="15" zeroHeight="1" x14ac:dyDescent="0.25"/>
  <cols>
    <col min="1" max="1" width="8.85546875" customWidth="1"/>
    <col min="2" max="2" width="45.85546875" customWidth="1"/>
    <col min="3" max="3" width="5.7109375" bestFit="1" customWidth="1"/>
    <col min="4" max="16384" width="11.42578125" hidden="1"/>
  </cols>
  <sheetData>
    <row r="1" spans="1:3" s="49" customFormat="1" ht="23.25" customHeight="1" x14ac:dyDescent="0.25">
      <c r="A1" s="372" t="s">
        <v>78</v>
      </c>
      <c r="B1" s="373"/>
      <c r="C1" s="373"/>
    </row>
    <row r="2" spans="1:3" s="49" customFormat="1" ht="30" customHeight="1" x14ac:dyDescent="0.2">
      <c r="A2" s="52">
        <v>1</v>
      </c>
      <c r="B2" s="52">
        <v>2</v>
      </c>
      <c r="C2" s="52">
        <v>3</v>
      </c>
    </row>
    <row r="3" spans="1:3" s="49" customFormat="1" ht="12.75" customHeight="1" x14ac:dyDescent="0.25">
      <c r="A3" s="374" t="s">
        <v>184</v>
      </c>
      <c r="B3" s="374" t="s">
        <v>80</v>
      </c>
      <c r="C3" s="374" t="s">
        <v>185</v>
      </c>
    </row>
    <row r="4" spans="1:3" s="49" customFormat="1" ht="12.75" customHeight="1" x14ac:dyDescent="0.2">
      <c r="A4" s="375" t="s">
        <v>186</v>
      </c>
      <c r="B4" s="376" t="s">
        <v>187</v>
      </c>
      <c r="C4" s="377">
        <v>0</v>
      </c>
    </row>
    <row r="5" spans="1:3" s="49" customFormat="1" ht="12.75" customHeight="1" x14ac:dyDescent="0.2">
      <c r="A5" s="378" t="s">
        <v>188</v>
      </c>
      <c r="B5" s="56" t="s">
        <v>189</v>
      </c>
      <c r="C5" s="379">
        <v>0</v>
      </c>
    </row>
    <row r="6" spans="1:3" s="49" customFormat="1" ht="12.75" customHeight="1" x14ac:dyDescent="0.2">
      <c r="A6" s="378" t="s">
        <v>170</v>
      </c>
      <c r="B6" s="56" t="s">
        <v>171</v>
      </c>
      <c r="C6" s="379">
        <v>0</v>
      </c>
    </row>
    <row r="7" spans="1:3" s="49" customFormat="1" ht="12.75" customHeight="1" x14ac:dyDescent="0.2">
      <c r="A7" s="378" t="s">
        <v>172</v>
      </c>
      <c r="B7" s="56" t="s">
        <v>190</v>
      </c>
      <c r="C7" s="379">
        <v>0</v>
      </c>
    </row>
    <row r="8" spans="1:3" s="49" customFormat="1" ht="12.75" customHeight="1" x14ac:dyDescent="0.2">
      <c r="A8" s="378" t="s">
        <v>191</v>
      </c>
      <c r="B8" s="56" t="s">
        <v>192</v>
      </c>
      <c r="C8" s="379">
        <v>0</v>
      </c>
    </row>
    <row r="9" spans="1:3" s="49" customFormat="1" ht="12.75" customHeight="1" x14ac:dyDescent="0.2">
      <c r="A9" s="378" t="s">
        <v>193</v>
      </c>
      <c r="B9" s="56" t="s">
        <v>194</v>
      </c>
      <c r="C9" s="379">
        <v>0</v>
      </c>
    </row>
    <row r="10" spans="1:3" s="49" customFormat="1" ht="12.75" customHeight="1" x14ac:dyDescent="0.2">
      <c r="A10" s="378" t="s">
        <v>195</v>
      </c>
      <c r="B10" s="56" t="s">
        <v>196</v>
      </c>
      <c r="C10" s="379">
        <v>0</v>
      </c>
    </row>
    <row r="11" spans="1:3" s="49" customFormat="1" ht="12.75" customHeight="1" x14ac:dyDescent="0.2">
      <c r="A11" s="378" t="s">
        <v>197</v>
      </c>
      <c r="B11" s="56" t="s">
        <v>198</v>
      </c>
      <c r="C11" s="379">
        <v>0</v>
      </c>
    </row>
    <row r="12" spans="1:3" s="49" customFormat="1" ht="12.75" customHeight="1" x14ac:dyDescent="0.2">
      <c r="A12" s="375" t="s">
        <v>175</v>
      </c>
      <c r="B12" s="376" t="s">
        <v>199</v>
      </c>
      <c r="C12" s="377" t="s">
        <v>200</v>
      </c>
    </row>
    <row r="13" spans="1:3" s="49" customFormat="1" ht="12.75" customHeight="1" x14ac:dyDescent="0.2">
      <c r="A13" s="378" t="s">
        <v>174</v>
      </c>
      <c r="B13" s="56" t="s">
        <v>201</v>
      </c>
      <c r="C13" s="379" t="s">
        <v>200</v>
      </c>
    </row>
    <row r="14" spans="1:3" s="49" customFormat="1" ht="12.75" customHeight="1" x14ac:dyDescent="0.2">
      <c r="A14" s="378" t="s">
        <v>173</v>
      </c>
      <c r="B14" s="56" t="s">
        <v>202</v>
      </c>
      <c r="C14" s="379" t="s">
        <v>200</v>
      </c>
    </row>
    <row r="15" spans="1:3" s="49" customFormat="1" ht="12.75" customHeight="1" x14ac:dyDescent="0.2">
      <c r="A15" s="378" t="s">
        <v>203</v>
      </c>
      <c r="B15" s="56" t="s">
        <v>204</v>
      </c>
      <c r="C15" s="379" t="s">
        <v>200</v>
      </c>
    </row>
    <row r="16" spans="1:3" s="49" customFormat="1" ht="12.75" customHeight="1" x14ac:dyDescent="0.2">
      <c r="A16" s="378" t="s">
        <v>205</v>
      </c>
      <c r="B16" s="56" t="s">
        <v>206</v>
      </c>
      <c r="C16" s="379" t="s">
        <v>200</v>
      </c>
    </row>
    <row r="17" spans="1:3" s="49" customFormat="1" ht="12.75" customHeight="1" x14ac:dyDescent="0.2">
      <c r="A17" s="375" t="s">
        <v>207</v>
      </c>
      <c r="B17" s="376" t="s">
        <v>208</v>
      </c>
      <c r="C17" s="377" t="s">
        <v>209</v>
      </c>
    </row>
    <row r="18" spans="1:3" s="49" customFormat="1" ht="12.75" customHeight="1" x14ac:dyDescent="0.2">
      <c r="A18" s="378" t="s">
        <v>181</v>
      </c>
      <c r="B18" s="56" t="s">
        <v>210</v>
      </c>
      <c r="C18" s="379" t="s">
        <v>209</v>
      </c>
    </row>
    <row r="19" spans="1:3" s="49" customFormat="1" ht="12.75" customHeight="1" x14ac:dyDescent="0.2">
      <c r="A19" s="378" t="s">
        <v>177</v>
      </c>
      <c r="B19" s="56" t="s">
        <v>211</v>
      </c>
      <c r="C19" s="379" t="s">
        <v>209</v>
      </c>
    </row>
    <row r="20" spans="1:3" s="49" customFormat="1" ht="12.75" customHeight="1" x14ac:dyDescent="0.2">
      <c r="A20" s="378" t="s">
        <v>212</v>
      </c>
      <c r="B20" s="56" t="s">
        <v>213</v>
      </c>
      <c r="C20" s="379" t="s">
        <v>209</v>
      </c>
    </row>
    <row r="21" spans="1:3" s="49" customFormat="1" ht="12.75" customHeight="1" x14ac:dyDescent="0.2">
      <c r="A21" s="378" t="s">
        <v>214</v>
      </c>
      <c r="B21" s="56" t="s">
        <v>213</v>
      </c>
      <c r="C21" s="379" t="s">
        <v>209</v>
      </c>
    </row>
    <row r="22" spans="1:3" s="49" customFormat="1" ht="12.75" customHeight="1" x14ac:dyDescent="0.2">
      <c r="A22" s="378" t="s">
        <v>215</v>
      </c>
      <c r="B22" s="56" t="s">
        <v>216</v>
      </c>
      <c r="C22" s="379" t="s">
        <v>209</v>
      </c>
    </row>
    <row r="23" spans="1:3" s="49" customFormat="1" ht="12.75" customHeight="1" x14ac:dyDescent="0.2">
      <c r="A23" s="378" t="s">
        <v>217</v>
      </c>
      <c r="B23" s="56" t="s">
        <v>218</v>
      </c>
      <c r="C23" s="379" t="s">
        <v>209</v>
      </c>
    </row>
    <row r="24" spans="1:3" s="49" customFormat="1" ht="12.75" customHeight="1" x14ac:dyDescent="0.2">
      <c r="A24" s="378" t="s">
        <v>219</v>
      </c>
      <c r="B24" s="56" t="s">
        <v>220</v>
      </c>
      <c r="C24" s="379" t="s">
        <v>209</v>
      </c>
    </row>
    <row r="25" spans="1:3" s="49" customFormat="1" ht="12.75" customHeight="1" x14ac:dyDescent="0.2">
      <c r="A25" s="378" t="s">
        <v>221</v>
      </c>
      <c r="B25" s="56" t="s">
        <v>222</v>
      </c>
      <c r="C25" s="379" t="s">
        <v>209</v>
      </c>
    </row>
    <row r="26" spans="1:3" s="49" customFormat="1" ht="12.75" customHeight="1" x14ac:dyDescent="0.2">
      <c r="A26" s="378" t="s">
        <v>176</v>
      </c>
      <c r="B26" s="56" t="s">
        <v>223</v>
      </c>
      <c r="C26" s="379" t="s">
        <v>209</v>
      </c>
    </row>
    <row r="27" spans="1:3" s="49" customFormat="1" ht="12.75" customHeight="1" x14ac:dyDescent="0.2">
      <c r="A27" s="378" t="s">
        <v>113</v>
      </c>
      <c r="B27" s="56" t="s">
        <v>224</v>
      </c>
      <c r="C27" s="379" t="s">
        <v>209</v>
      </c>
    </row>
    <row r="28" spans="1:3" s="49" customFormat="1" ht="12.75" customHeight="1" x14ac:dyDescent="0.2">
      <c r="A28" s="378" t="s">
        <v>225</v>
      </c>
      <c r="B28" s="56" t="s">
        <v>226</v>
      </c>
      <c r="C28" s="379" t="s">
        <v>209</v>
      </c>
    </row>
    <row r="29" spans="1:3" s="49" customFormat="1" ht="12.75" customHeight="1" x14ac:dyDescent="0.2">
      <c r="A29" s="375" t="s">
        <v>179</v>
      </c>
      <c r="B29" s="376" t="s">
        <v>227</v>
      </c>
      <c r="C29" s="377" t="s">
        <v>228</v>
      </c>
    </row>
    <row r="30" spans="1:3" s="49" customFormat="1" ht="12.75" customHeight="1" x14ac:dyDescent="0.2">
      <c r="A30" s="378" t="s">
        <v>229</v>
      </c>
      <c r="B30" s="56" t="s">
        <v>230</v>
      </c>
      <c r="C30" s="379" t="s">
        <v>228</v>
      </c>
    </row>
    <row r="31" spans="1:3" s="49" customFormat="1" ht="12.75" customHeight="1" x14ac:dyDescent="0.2">
      <c r="A31" s="378" t="s">
        <v>231</v>
      </c>
      <c r="B31" s="56" t="s">
        <v>232</v>
      </c>
      <c r="C31" s="379" t="s">
        <v>228</v>
      </c>
    </row>
    <row r="32" spans="1:3" s="49" customFormat="1" ht="12.75" customHeight="1" x14ac:dyDescent="0.2">
      <c r="A32" s="378" t="s">
        <v>233</v>
      </c>
      <c r="B32" s="56" t="s">
        <v>234</v>
      </c>
      <c r="C32" s="379" t="s">
        <v>228</v>
      </c>
    </row>
    <row r="33" spans="1:5" s="49" customFormat="1" ht="12.75" customHeight="1" x14ac:dyDescent="0.2">
      <c r="A33" s="378" t="s">
        <v>178</v>
      </c>
      <c r="B33" s="56" t="s">
        <v>235</v>
      </c>
      <c r="C33" s="379" t="s">
        <v>228</v>
      </c>
    </row>
    <row r="34" spans="1:5" s="49" customFormat="1" ht="12.75" customHeight="1" x14ac:dyDescent="0.2">
      <c r="A34" s="378" t="s">
        <v>236</v>
      </c>
      <c r="B34" s="56" t="s">
        <v>237</v>
      </c>
      <c r="C34" s="379" t="s">
        <v>228</v>
      </c>
    </row>
    <row r="35" spans="1:5" s="49" customFormat="1" ht="12.75" customHeight="1" x14ac:dyDescent="0.2">
      <c r="A35" s="378" t="s">
        <v>238</v>
      </c>
      <c r="B35" s="56" t="s">
        <v>239</v>
      </c>
      <c r="C35" s="379" t="s">
        <v>228</v>
      </c>
    </row>
    <row r="36" spans="1:5" s="49" customFormat="1" ht="12.75" customHeight="1" x14ac:dyDescent="0.2">
      <c r="A36" s="378" t="s">
        <v>240</v>
      </c>
      <c r="B36" s="56" t="s">
        <v>239</v>
      </c>
      <c r="C36" s="379" t="s">
        <v>228</v>
      </c>
    </row>
    <row r="37" spans="1:5" s="49" customFormat="1" ht="12.75" customHeight="1" x14ac:dyDescent="0.2">
      <c r="A37" s="378" t="s">
        <v>241</v>
      </c>
      <c r="B37" s="56" t="s">
        <v>242</v>
      </c>
      <c r="C37" s="379" t="s">
        <v>228</v>
      </c>
    </row>
    <row r="38" spans="1:5" s="49" customFormat="1" ht="12.75" customHeight="1" x14ac:dyDescent="0.2">
      <c r="A38" s="378" t="s">
        <v>243</v>
      </c>
      <c r="B38" s="56" t="s">
        <v>244</v>
      </c>
      <c r="C38" s="379" t="s">
        <v>228</v>
      </c>
    </row>
    <row r="39" spans="1:5" s="49" customFormat="1" ht="12.75" customHeight="1" x14ac:dyDescent="0.2">
      <c r="A39" s="378" t="s">
        <v>245</v>
      </c>
      <c r="B39" s="56" t="s">
        <v>246</v>
      </c>
      <c r="C39" s="379" t="s">
        <v>228</v>
      </c>
    </row>
    <row r="40" spans="1:5" s="49" customFormat="1" ht="12.75" customHeight="1" x14ac:dyDescent="0.2">
      <c r="A40" s="375" t="s">
        <v>247</v>
      </c>
      <c r="B40" s="376" t="s">
        <v>248</v>
      </c>
      <c r="C40" s="377" t="s">
        <v>249</v>
      </c>
    </row>
    <row r="41" spans="1:5" s="49" customFormat="1" ht="12.75" customHeight="1" x14ac:dyDescent="0.2">
      <c r="A41" s="378" t="s">
        <v>250</v>
      </c>
      <c r="B41" s="56" t="s">
        <v>251</v>
      </c>
      <c r="C41" s="379" t="s">
        <v>249</v>
      </c>
    </row>
    <row r="42" spans="1:5" s="49" customFormat="1" ht="12.75" customHeight="1" x14ac:dyDescent="0.2">
      <c r="A42" s="378" t="s">
        <v>252</v>
      </c>
      <c r="B42" s="56" t="s">
        <v>253</v>
      </c>
      <c r="C42" s="379" t="s">
        <v>249</v>
      </c>
    </row>
    <row r="43" spans="1:5" s="49" customFormat="1" ht="12.75" customHeight="1" x14ac:dyDescent="0.2">
      <c r="A43" s="378" t="s">
        <v>254</v>
      </c>
      <c r="B43" s="56" t="s">
        <v>255</v>
      </c>
      <c r="C43" s="379" t="s">
        <v>249</v>
      </c>
    </row>
    <row r="44" spans="1:5" s="380" customFormat="1" ht="12.75" customHeight="1" x14ac:dyDescent="0.2">
      <c r="A44" s="378" t="s">
        <v>256</v>
      </c>
      <c r="B44" s="56" t="s">
        <v>257</v>
      </c>
      <c r="C44" s="379" t="s">
        <v>249</v>
      </c>
      <c r="E44" s="49"/>
    </row>
    <row r="45" spans="1:5" s="49" customFormat="1" ht="12.75" customHeight="1" x14ac:dyDescent="0.2">
      <c r="A45" s="378" t="s">
        <v>258</v>
      </c>
      <c r="B45" s="56" t="s">
        <v>259</v>
      </c>
      <c r="C45" s="379" t="s">
        <v>249</v>
      </c>
    </row>
    <row r="46" spans="1:5" s="49" customFormat="1" ht="12.75" customHeight="1" x14ac:dyDescent="0.2">
      <c r="A46" s="378" t="s">
        <v>260</v>
      </c>
      <c r="B46" s="56" t="s">
        <v>261</v>
      </c>
      <c r="C46" s="379" t="s">
        <v>249</v>
      </c>
    </row>
    <row r="47" spans="1:5" s="49" customFormat="1" ht="12.75" customHeight="1" x14ac:dyDescent="0.2">
      <c r="A47" s="378" t="s">
        <v>262</v>
      </c>
      <c r="B47" s="56" t="s">
        <v>263</v>
      </c>
      <c r="C47" s="379" t="s">
        <v>249</v>
      </c>
    </row>
    <row r="48" spans="1:5" s="49" customFormat="1" ht="12.75" customHeight="1" x14ac:dyDescent="0.2">
      <c r="A48" s="378" t="s">
        <v>118</v>
      </c>
      <c r="B48" s="56" t="s">
        <v>264</v>
      </c>
      <c r="C48" s="379" t="s">
        <v>249</v>
      </c>
    </row>
    <row r="49" spans="1:3" s="49" customFormat="1" ht="12.75" customHeight="1" x14ac:dyDescent="0.2">
      <c r="A49" s="378" t="s">
        <v>265</v>
      </c>
      <c r="B49" s="56" t="s">
        <v>266</v>
      </c>
      <c r="C49" s="379" t="s">
        <v>249</v>
      </c>
    </row>
    <row r="50" spans="1:3" s="49" customFormat="1" ht="12.75" customHeight="1" x14ac:dyDescent="0.2">
      <c r="A50" s="378" t="s">
        <v>267</v>
      </c>
      <c r="B50" s="56" t="s">
        <v>268</v>
      </c>
      <c r="C50" s="379" t="s">
        <v>249</v>
      </c>
    </row>
    <row r="51" spans="1:3" s="49" customFormat="1" ht="12.75" customHeight="1" x14ac:dyDescent="0.2">
      <c r="A51" s="378" t="s">
        <v>269</v>
      </c>
      <c r="B51" s="56" t="s">
        <v>270</v>
      </c>
      <c r="C51" s="379" t="s">
        <v>249</v>
      </c>
    </row>
    <row r="52" spans="1:3" s="49" customFormat="1" ht="12.75" customHeight="1" x14ac:dyDescent="0.2">
      <c r="A52" s="378" t="s">
        <v>271</v>
      </c>
      <c r="B52" s="56" t="s">
        <v>272</v>
      </c>
      <c r="C52" s="379" t="s">
        <v>249</v>
      </c>
    </row>
    <row r="53" spans="1:3" s="49" customFormat="1" ht="12.75" customHeight="1" x14ac:dyDescent="0.2">
      <c r="A53" s="378" t="s">
        <v>273</v>
      </c>
      <c r="B53" s="56" t="s">
        <v>274</v>
      </c>
      <c r="C53" s="379" t="s">
        <v>249</v>
      </c>
    </row>
    <row r="54" spans="1:3" s="49" customFormat="1" ht="12.75" customHeight="1" x14ac:dyDescent="0.2">
      <c r="A54" s="378" t="s">
        <v>275</v>
      </c>
      <c r="B54" s="56" t="s">
        <v>276</v>
      </c>
      <c r="C54" s="379" t="s">
        <v>249</v>
      </c>
    </row>
    <row r="55" spans="1:3" s="49" customFormat="1" ht="12.75" customHeight="1" x14ac:dyDescent="0.2">
      <c r="A55" s="378" t="s">
        <v>277</v>
      </c>
      <c r="B55" s="56" t="s">
        <v>278</v>
      </c>
      <c r="C55" s="379" t="s">
        <v>249</v>
      </c>
    </row>
    <row r="56" spans="1:3" s="49" customFormat="1" ht="12.75" customHeight="1" x14ac:dyDescent="0.2">
      <c r="A56" s="378" t="s">
        <v>279</v>
      </c>
      <c r="B56" s="56" t="s">
        <v>280</v>
      </c>
      <c r="C56" s="379" t="s">
        <v>249</v>
      </c>
    </row>
    <row r="57" spans="1:3" s="49" customFormat="1" ht="12.75" customHeight="1" x14ac:dyDescent="0.2">
      <c r="A57" s="378" t="s">
        <v>281</v>
      </c>
      <c r="B57" s="56" t="s">
        <v>282</v>
      </c>
      <c r="C57" s="379" t="s">
        <v>249</v>
      </c>
    </row>
    <row r="58" spans="1:3" s="49" customFormat="1" ht="12.75" customHeight="1" x14ac:dyDescent="0.2">
      <c r="A58" s="378" t="s">
        <v>283</v>
      </c>
      <c r="B58" s="56" t="s">
        <v>284</v>
      </c>
      <c r="C58" s="379" t="s">
        <v>249</v>
      </c>
    </row>
    <row r="59" spans="1:3" s="49" customFormat="1" ht="12.75" customHeight="1" x14ac:dyDescent="0.2">
      <c r="A59" s="378" t="s">
        <v>285</v>
      </c>
      <c r="B59" s="56" t="s">
        <v>286</v>
      </c>
      <c r="C59" s="379" t="s">
        <v>249</v>
      </c>
    </row>
    <row r="60" spans="1:3" s="49" customFormat="1" ht="12.75" customHeight="1" x14ac:dyDescent="0.2">
      <c r="A60" s="378" t="s">
        <v>287</v>
      </c>
      <c r="B60" s="56" t="s">
        <v>288</v>
      </c>
      <c r="C60" s="379" t="s">
        <v>249</v>
      </c>
    </row>
    <row r="61" spans="1:3" s="49" customFormat="1" ht="12.75" customHeight="1" x14ac:dyDescent="0.2">
      <c r="A61" s="378" t="s">
        <v>289</v>
      </c>
      <c r="B61" s="56" t="s">
        <v>290</v>
      </c>
      <c r="C61" s="379" t="s">
        <v>249</v>
      </c>
    </row>
    <row r="62" spans="1:3" s="49" customFormat="1" ht="12.75" customHeight="1" x14ac:dyDescent="0.2">
      <c r="A62" s="378" t="s">
        <v>291</v>
      </c>
      <c r="B62" s="56" t="s">
        <v>292</v>
      </c>
      <c r="C62" s="379" t="s">
        <v>249</v>
      </c>
    </row>
    <row r="63" spans="1:3" s="49" customFormat="1" ht="12.75" customHeight="1" x14ac:dyDescent="0.2">
      <c r="A63" s="378" t="s">
        <v>293</v>
      </c>
      <c r="B63" s="56" t="s">
        <v>294</v>
      </c>
      <c r="C63" s="379" t="s">
        <v>249</v>
      </c>
    </row>
    <row r="64" spans="1:3" s="49" customFormat="1" ht="12.75" customHeight="1" x14ac:dyDescent="0.2">
      <c r="A64" s="378" t="s">
        <v>295</v>
      </c>
      <c r="B64" s="56" t="s">
        <v>296</v>
      </c>
      <c r="C64" s="379" t="s">
        <v>249</v>
      </c>
    </row>
    <row r="65" spans="1:3" s="49" customFormat="1" ht="12.6" customHeight="1" x14ac:dyDescent="0.2">
      <c r="A65" s="378" t="s">
        <v>297</v>
      </c>
      <c r="B65" s="56" t="s">
        <v>298</v>
      </c>
      <c r="C65" s="379" t="s">
        <v>249</v>
      </c>
    </row>
    <row r="66" spans="1:3" s="49" customFormat="1" ht="12.6" customHeight="1" x14ac:dyDescent="0.2">
      <c r="A66" s="375" t="s">
        <v>299</v>
      </c>
      <c r="B66" s="376" t="s">
        <v>300</v>
      </c>
      <c r="C66" s="377" t="s">
        <v>301</v>
      </c>
    </row>
    <row r="67" spans="1:3" s="49" customFormat="1" ht="12.6" customHeight="1" x14ac:dyDescent="0.2">
      <c r="A67" s="378" t="s">
        <v>302</v>
      </c>
      <c r="B67" s="56" t="s">
        <v>303</v>
      </c>
      <c r="C67" s="379" t="s">
        <v>301</v>
      </c>
    </row>
    <row r="68" spans="1:3" s="49" customFormat="1" ht="12.6" customHeight="1" x14ac:dyDescent="0.2">
      <c r="A68" s="378" t="s">
        <v>304</v>
      </c>
      <c r="B68" s="56" t="s">
        <v>305</v>
      </c>
      <c r="C68" s="379" t="s">
        <v>301</v>
      </c>
    </row>
    <row r="69" spans="1:3" s="49" customFormat="1" ht="12.6" customHeight="1" x14ac:dyDescent="0.2">
      <c r="A69" s="378" t="s">
        <v>306</v>
      </c>
      <c r="B69" s="56" t="s">
        <v>307</v>
      </c>
      <c r="C69" s="379" t="s">
        <v>301</v>
      </c>
    </row>
    <row r="70" spans="1:3" s="49" customFormat="1" x14ac:dyDescent="0.2">
      <c r="A70" s="378" t="s">
        <v>308</v>
      </c>
      <c r="B70" s="56" t="s">
        <v>309</v>
      </c>
      <c r="C70" s="379" t="s">
        <v>301</v>
      </c>
    </row>
    <row r="71" spans="1:3" s="49" customFormat="1" x14ac:dyDescent="0.2">
      <c r="A71" s="378" t="s">
        <v>310</v>
      </c>
      <c r="B71" s="56" t="s">
        <v>311</v>
      </c>
      <c r="C71" s="379" t="s">
        <v>301</v>
      </c>
    </row>
    <row r="72" spans="1:3" s="49" customFormat="1" x14ac:dyDescent="0.2">
      <c r="A72" s="378" t="s">
        <v>312</v>
      </c>
      <c r="B72" s="56" t="s">
        <v>313</v>
      </c>
      <c r="C72" s="379" t="s">
        <v>301</v>
      </c>
    </row>
    <row r="73" spans="1:3" s="49" customFormat="1" x14ac:dyDescent="0.2">
      <c r="A73" s="378" t="s">
        <v>314</v>
      </c>
      <c r="B73" s="56" t="s">
        <v>315</v>
      </c>
      <c r="C73" s="379" t="s">
        <v>301</v>
      </c>
    </row>
    <row r="74" spans="1:3" s="49" customFormat="1" x14ac:dyDescent="0.2">
      <c r="A74" s="378" t="s">
        <v>316</v>
      </c>
      <c r="B74" s="56" t="s">
        <v>317</v>
      </c>
      <c r="C74" s="379" t="s">
        <v>301</v>
      </c>
    </row>
    <row r="75" spans="1:3" s="49" customFormat="1" x14ac:dyDescent="0.2">
      <c r="A75" s="378" t="s">
        <v>318</v>
      </c>
      <c r="B75" s="56" t="s">
        <v>319</v>
      </c>
      <c r="C75" s="379" t="s">
        <v>301</v>
      </c>
    </row>
    <row r="76" spans="1:3" s="49" customFormat="1" x14ac:dyDescent="0.2">
      <c r="A76" s="378" t="s">
        <v>320</v>
      </c>
      <c r="B76" s="56" t="s">
        <v>321</v>
      </c>
      <c r="C76" s="379" t="s">
        <v>301</v>
      </c>
    </row>
    <row r="77" spans="1:3" s="49" customFormat="1" x14ac:dyDescent="0.2">
      <c r="A77" s="378" t="s">
        <v>180</v>
      </c>
      <c r="B77" s="56" t="s">
        <v>322</v>
      </c>
      <c r="C77" s="379" t="s">
        <v>301</v>
      </c>
    </row>
    <row r="78" spans="1:3" s="49" customFormat="1" x14ac:dyDescent="0.2">
      <c r="A78" s="378" t="s">
        <v>323</v>
      </c>
      <c r="B78" s="56" t="s">
        <v>324</v>
      </c>
      <c r="C78" s="379" t="s">
        <v>301</v>
      </c>
    </row>
    <row r="79" spans="1:3" s="49" customFormat="1" ht="12.75" customHeight="1" x14ac:dyDescent="0.2">
      <c r="A79" s="378" t="s">
        <v>325</v>
      </c>
      <c r="B79" s="56" t="s">
        <v>326</v>
      </c>
      <c r="C79" s="379" t="s">
        <v>301</v>
      </c>
    </row>
    <row r="80" spans="1:3" s="49" customFormat="1" ht="12.75" customHeight="1" x14ac:dyDescent="0.2">
      <c r="A80" s="378" t="s">
        <v>327</v>
      </c>
      <c r="B80" s="56" t="s">
        <v>328</v>
      </c>
      <c r="C80" s="379" t="s">
        <v>301</v>
      </c>
    </row>
    <row r="81" spans="1:3" s="49" customFormat="1" ht="12.75" customHeight="1" x14ac:dyDescent="0.2">
      <c r="A81" s="378" t="s">
        <v>329</v>
      </c>
      <c r="B81" s="56" t="s">
        <v>330</v>
      </c>
      <c r="C81" s="379" t="s">
        <v>301</v>
      </c>
    </row>
    <row r="82" spans="1:3" s="49" customFormat="1" ht="12.75" customHeight="1" x14ac:dyDescent="0.2">
      <c r="A82" s="378" t="s">
        <v>331</v>
      </c>
      <c r="B82" s="56" t="s">
        <v>332</v>
      </c>
      <c r="C82" s="379" t="s">
        <v>301</v>
      </c>
    </row>
    <row r="83" spans="1:3" s="49" customFormat="1" ht="12.75" customHeight="1" x14ac:dyDescent="0.2">
      <c r="A83" s="378" t="s">
        <v>333</v>
      </c>
      <c r="B83" s="56" t="s">
        <v>334</v>
      </c>
      <c r="C83" s="379" t="s">
        <v>301</v>
      </c>
    </row>
    <row r="84" spans="1:3" s="49" customFormat="1" ht="12.75" customHeight="1" x14ac:dyDescent="0.2">
      <c r="A84" s="375" t="s">
        <v>335</v>
      </c>
      <c r="B84" s="376" t="s">
        <v>336</v>
      </c>
      <c r="C84" s="377" t="s">
        <v>337</v>
      </c>
    </row>
    <row r="85" spans="1:3" s="49" customFormat="1" ht="12.75" customHeight="1" x14ac:dyDescent="0.2">
      <c r="A85" s="378" t="s">
        <v>338</v>
      </c>
      <c r="B85" s="56" t="s">
        <v>339</v>
      </c>
      <c r="C85" s="379" t="s">
        <v>337</v>
      </c>
    </row>
    <row r="86" spans="1:3" s="49" customFormat="1" ht="12.75" customHeight="1" x14ac:dyDescent="0.2">
      <c r="A86" s="378" t="s">
        <v>340</v>
      </c>
      <c r="B86" s="56" t="s">
        <v>341</v>
      </c>
      <c r="C86" s="379" t="s">
        <v>337</v>
      </c>
    </row>
    <row r="87" spans="1:3" s="49" customFormat="1" ht="12.75" customHeight="1" x14ac:dyDescent="0.2">
      <c r="A87" s="378" t="s">
        <v>342</v>
      </c>
      <c r="B87" s="56" t="s">
        <v>343</v>
      </c>
      <c r="C87" s="379" t="s">
        <v>337</v>
      </c>
    </row>
    <row r="88" spans="1:3" s="49" customFormat="1" ht="12.75" customHeight="1" x14ac:dyDescent="0.2">
      <c r="A88" s="375" t="s">
        <v>183</v>
      </c>
      <c r="B88" s="376" t="s">
        <v>344</v>
      </c>
      <c r="C88" s="377" t="s">
        <v>345</v>
      </c>
    </row>
    <row r="89" spans="1:3" s="49" customFormat="1" ht="12.75" customHeight="1" x14ac:dyDescent="0.2">
      <c r="A89" s="378" t="s">
        <v>346</v>
      </c>
      <c r="B89" s="56" t="s">
        <v>347</v>
      </c>
      <c r="C89" s="379" t="s">
        <v>345</v>
      </c>
    </row>
    <row r="90" spans="1:3" s="49" customFormat="1" ht="12.75" customHeight="1" x14ac:dyDescent="0.2">
      <c r="A90" s="378" t="s">
        <v>348</v>
      </c>
      <c r="B90" s="56" t="s">
        <v>349</v>
      </c>
      <c r="C90" s="379" t="s">
        <v>345</v>
      </c>
    </row>
    <row r="91" spans="1:3" s="49" customFormat="1" ht="12.75" customHeight="1" x14ac:dyDescent="0.2">
      <c r="A91" s="378" t="s">
        <v>350</v>
      </c>
      <c r="B91" s="56" t="s">
        <v>351</v>
      </c>
      <c r="C91" s="379" t="s">
        <v>345</v>
      </c>
    </row>
    <row r="92" spans="1:3" s="49" customFormat="1" ht="12.75" customHeight="1" x14ac:dyDescent="0.2">
      <c r="A92" s="378" t="s">
        <v>352</v>
      </c>
      <c r="B92" s="56" t="s">
        <v>353</v>
      </c>
      <c r="C92" s="379" t="s">
        <v>345</v>
      </c>
    </row>
    <row r="93" spans="1:3" s="49" customFormat="1" ht="12.75" customHeight="1" x14ac:dyDescent="0.2">
      <c r="A93" s="378" t="s">
        <v>354</v>
      </c>
      <c r="B93" s="56" t="s">
        <v>355</v>
      </c>
      <c r="C93" s="379" t="s">
        <v>345</v>
      </c>
    </row>
    <row r="94" spans="1:3" s="49" customFormat="1" ht="12.75" customHeight="1" x14ac:dyDescent="0.2">
      <c r="A94" s="378" t="s">
        <v>356</v>
      </c>
      <c r="B94" s="56" t="s">
        <v>357</v>
      </c>
      <c r="C94" s="379" t="s">
        <v>345</v>
      </c>
    </row>
    <row r="95" spans="1:3" s="49" customFormat="1" ht="12.75" customHeight="1" x14ac:dyDescent="0.2">
      <c r="A95" s="378" t="s">
        <v>358</v>
      </c>
      <c r="B95" s="56" t="s">
        <v>359</v>
      </c>
      <c r="C95" s="379" t="s">
        <v>345</v>
      </c>
    </row>
    <row r="96" spans="1:3" s="49" customFormat="1" ht="12.75" customHeight="1" x14ac:dyDescent="0.2">
      <c r="A96" s="378" t="s">
        <v>360</v>
      </c>
      <c r="B96" s="56" t="s">
        <v>361</v>
      </c>
      <c r="C96" s="379" t="s">
        <v>345</v>
      </c>
    </row>
    <row r="97" spans="1:3" s="49" customFormat="1" ht="12.75" customHeight="1" x14ac:dyDescent="0.2">
      <c r="A97" s="375" t="s">
        <v>362</v>
      </c>
      <c r="B97" s="376" t="s">
        <v>363</v>
      </c>
      <c r="C97" s="377" t="s">
        <v>364</v>
      </c>
    </row>
    <row r="98" spans="1:3" s="49" customFormat="1" ht="12.75" customHeight="1" x14ac:dyDescent="0.2">
      <c r="A98" s="378" t="s">
        <v>182</v>
      </c>
      <c r="B98" s="56" t="s">
        <v>365</v>
      </c>
      <c r="C98" s="379" t="s">
        <v>364</v>
      </c>
    </row>
    <row r="99" spans="1:3" s="49" customFormat="1" ht="12.75" customHeight="1" x14ac:dyDescent="0.2">
      <c r="A99" s="378" t="s">
        <v>366</v>
      </c>
      <c r="B99" s="56" t="s">
        <v>367</v>
      </c>
      <c r="C99" s="379" t="s">
        <v>364</v>
      </c>
    </row>
    <row r="100" spans="1:3" s="49" customFormat="1" ht="12.75" customHeight="1" x14ac:dyDescent="0.2">
      <c r="A100" s="378" t="s">
        <v>368</v>
      </c>
      <c r="B100" s="56" t="s">
        <v>369</v>
      </c>
      <c r="C100" s="379" t="s">
        <v>364</v>
      </c>
    </row>
    <row r="101" spans="1:3" s="49" customFormat="1" ht="12.75" customHeight="1" x14ac:dyDescent="0.2">
      <c r="A101" s="375" t="s">
        <v>129</v>
      </c>
      <c r="B101" s="376" t="s">
        <v>370</v>
      </c>
      <c r="C101" s="377" t="s">
        <v>371</v>
      </c>
    </row>
    <row r="102" spans="1:3" s="49" customFormat="1" ht="12.75" customHeight="1" x14ac:dyDescent="0.2">
      <c r="A102" s="378" t="s">
        <v>125</v>
      </c>
      <c r="B102" s="56" t="s">
        <v>372</v>
      </c>
      <c r="C102" s="379" t="s">
        <v>371</v>
      </c>
    </row>
    <row r="103" spans="1:3" s="49" customFormat="1" ht="12.75" customHeight="1" x14ac:dyDescent="0.2">
      <c r="A103" s="378" t="s">
        <v>128</v>
      </c>
      <c r="B103" s="56" t="s">
        <v>373</v>
      </c>
      <c r="C103" s="379" t="s">
        <v>371</v>
      </c>
    </row>
    <row r="104" spans="1:3" s="49" customFormat="1" ht="12.75" customHeight="1" x14ac:dyDescent="0.2">
      <c r="A104" s="378" t="s">
        <v>126</v>
      </c>
      <c r="B104" s="56" t="s">
        <v>374</v>
      </c>
      <c r="C104" s="379" t="s">
        <v>371</v>
      </c>
    </row>
    <row r="105" spans="1:3" s="49" customFormat="1" ht="12.75" customHeight="1" x14ac:dyDescent="0.2">
      <c r="A105" s="378" t="s">
        <v>127</v>
      </c>
      <c r="B105" s="56" t="s">
        <v>375</v>
      </c>
      <c r="C105" s="379" t="s">
        <v>371</v>
      </c>
    </row>
    <row r="106" spans="1:3" s="49" customFormat="1" ht="12.75" customHeight="1" x14ac:dyDescent="0.2">
      <c r="A106" s="378" t="s">
        <v>127</v>
      </c>
      <c r="B106" s="56" t="s">
        <v>376</v>
      </c>
      <c r="C106" s="379" t="s">
        <v>371</v>
      </c>
    </row>
    <row r="107" spans="1:3" s="49" customFormat="1" ht="12.75" customHeight="1" x14ac:dyDescent="0.2">
      <c r="A107" s="378" t="s">
        <v>377</v>
      </c>
      <c r="B107" s="56" t="s">
        <v>378</v>
      </c>
      <c r="C107" s="379" t="s">
        <v>371</v>
      </c>
    </row>
  </sheetData>
  <sheetProtection algorithmName="SHA-512" hashValue="5fjfeSjkfzcc8sn68S8z4HV6ZkPbyQ5s7/BW8sMr01vf9UjncF+unFlzjc8xg7Gcpy4rIDL0zM2wOfXeYqfr/g==" saltValue="Aqa9s8s5r5I8f6dJOQWryA=="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T49"/>
  <sheetViews>
    <sheetView showGridLines="0" showRowColHeaders="0" tabSelected="1" workbookViewId="0">
      <pane ySplit="1" topLeftCell="A2" activePane="bottomLeft" state="frozen"/>
      <selection activeCell="CZ9" sqref="CZ9"/>
      <selection pane="bottomLeft" activeCell="E5" sqref="E5"/>
    </sheetView>
  </sheetViews>
  <sheetFormatPr baseColWidth="10" defaultColWidth="0" defaultRowHeight="15" zeroHeight="1" x14ac:dyDescent="0.25"/>
  <cols>
    <col min="1" max="1" width="3.7109375" style="95" customWidth="1"/>
    <col min="2" max="2" width="4.7109375" style="95" customWidth="1"/>
    <col min="3" max="3" width="15.7109375" style="95" customWidth="1"/>
    <col min="4" max="4" width="10.7109375" style="95" customWidth="1"/>
    <col min="5" max="5" width="4.7109375" style="95" customWidth="1"/>
    <col min="6" max="6" width="14.7109375" style="95" customWidth="1"/>
    <col min="7" max="7" width="4.7109375" style="95" customWidth="1"/>
    <col min="8" max="8" width="14.7109375" style="95" customWidth="1"/>
    <col min="9" max="9" width="4.7109375" style="95" customWidth="1"/>
    <col min="10" max="10" width="14.7109375" style="95" customWidth="1"/>
    <col min="11" max="11" width="2.7109375" style="95" customWidth="1"/>
    <col min="12" max="20" width="11.42578125" style="95" customWidth="1"/>
    <col min="21" max="16384" width="11.42578125" style="95" hidden="1"/>
  </cols>
  <sheetData>
    <row r="1" spans="1:20" s="6" customFormat="1" ht="27" customHeight="1" x14ac:dyDescent="0.25">
      <c r="A1" s="73" t="s">
        <v>0</v>
      </c>
      <c r="B1" s="74"/>
      <c r="C1" s="74"/>
      <c r="D1" s="74"/>
      <c r="E1" s="74"/>
      <c r="F1" s="74"/>
      <c r="G1" s="74"/>
      <c r="H1" s="74"/>
      <c r="I1" s="74"/>
      <c r="J1" s="74"/>
      <c r="K1" s="5"/>
      <c r="L1" s="75" t="s">
        <v>99</v>
      </c>
      <c r="M1" s="5"/>
      <c r="N1" s="5"/>
      <c r="O1" s="5"/>
      <c r="P1" s="5"/>
      <c r="Q1" s="5"/>
      <c r="R1" s="5"/>
      <c r="S1" s="5"/>
      <c r="T1" s="5"/>
    </row>
    <row r="2" spans="1:20" s="6" customFormat="1" ht="30" customHeight="1" x14ac:dyDescent="0.25">
      <c r="A2" s="8"/>
      <c r="B2" s="8"/>
      <c r="D2" s="9"/>
    </row>
    <row r="3" spans="1:20" s="22" customFormat="1" ht="12.75" x14ac:dyDescent="0.25">
      <c r="A3" s="76" t="s">
        <v>8</v>
      </c>
      <c r="D3" s="77"/>
    </row>
    <row r="4" spans="1:20" s="6" customFormat="1" ht="17.100000000000001" customHeight="1" x14ac:dyDescent="0.25">
      <c r="A4" s="78" t="s">
        <v>9</v>
      </c>
      <c r="B4" s="78" t="s">
        <v>10</v>
      </c>
      <c r="C4" s="78" t="s">
        <v>11</v>
      </c>
      <c r="D4" s="79" t="s">
        <v>6</v>
      </c>
      <c r="E4" s="541" t="s">
        <v>100</v>
      </c>
      <c r="F4" s="542"/>
      <c r="G4" s="542"/>
      <c r="H4" s="543"/>
    </row>
    <row r="5" spans="1:20" s="6" customFormat="1" ht="20.100000000000001" customHeight="1" x14ac:dyDescent="0.25">
      <c r="A5" s="27" t="str">
        <f>IF('D-BF'!B9="","",'D-BF'!B9)</f>
        <v>EB</v>
      </c>
      <c r="B5" s="27" t="str">
        <f>IF('D-BF'!C9="","",'D-BF'!C9)</f>
        <v>01.01.</v>
      </c>
      <c r="C5" s="80" t="str">
        <f>IF('D-BF'!D9="","",'D-BF'!D9)</f>
        <v>AB Gebäude</v>
      </c>
      <c r="D5" s="81">
        <f>IF('D-BF'!J9="","",'D-BF'!J9)</f>
        <v>55448.2</v>
      </c>
      <c r="E5" s="615"/>
      <c r="F5" s="82" t="str">
        <f t="shared" ref="F5:F14" si="0">IF(E5="","",VLOOKUP(E5,KTOPL,2,0))</f>
        <v/>
      </c>
      <c r="G5" s="615"/>
      <c r="H5" s="83" t="str">
        <f t="shared" ref="H5:H14" si="1">IF(G5="","",VLOOKUP(G5,KTOPL,2,0))</f>
        <v/>
      </c>
    </row>
    <row r="6" spans="1:20" s="6" customFormat="1" ht="20.100000000000001" customHeight="1" x14ac:dyDescent="0.25">
      <c r="A6" s="28" t="str">
        <f>IF('D-BF'!B10="","",'D-BF'!B10)</f>
        <v>EB</v>
      </c>
      <c r="B6" s="27" t="str">
        <f>IF('D-BF'!C10="","",'D-BF'!C10)</f>
        <v>01.01.</v>
      </c>
      <c r="C6" s="80" t="str">
        <f>IF('D-BF'!D10="","",'D-BF'!D10)</f>
        <v>AB Maschinen</v>
      </c>
      <c r="D6" s="81">
        <f>IF('D-BF'!J10="","",'D-BF'!J10)</f>
        <v>91916.9</v>
      </c>
      <c r="E6" s="615"/>
      <c r="F6" s="82" t="str">
        <f t="shared" si="0"/>
        <v/>
      </c>
      <c r="G6" s="615"/>
      <c r="H6" s="83" t="str">
        <f t="shared" si="1"/>
        <v/>
      </c>
    </row>
    <row r="7" spans="1:20" s="6" customFormat="1" ht="20.100000000000001" customHeight="1" x14ac:dyDescent="0.25">
      <c r="A7" s="27" t="str">
        <f>IF('D-BF'!B11="","",'D-BF'!B11)</f>
        <v>EB</v>
      </c>
      <c r="B7" s="27" t="str">
        <f>IF('D-BF'!C11="","",'D-BF'!C11)</f>
        <v>01.01.</v>
      </c>
      <c r="C7" s="80" t="str">
        <f>IF('D-BF'!D11="","",'D-BF'!D11)</f>
        <v>AB Schafe</v>
      </c>
      <c r="D7" s="81">
        <f>IF('D-BF'!J11="","",'D-BF'!J11)</f>
        <v>39445.9</v>
      </c>
      <c r="E7" s="615"/>
      <c r="F7" s="82" t="str">
        <f t="shared" si="0"/>
        <v/>
      </c>
      <c r="G7" s="615"/>
      <c r="H7" s="83" t="str">
        <f t="shared" si="1"/>
        <v/>
      </c>
    </row>
    <row r="8" spans="1:20" s="6" customFormat="1" ht="20.100000000000001" customHeight="1" x14ac:dyDescent="0.25">
      <c r="A8" s="28" t="str">
        <f>IF('D-BF'!B12="","",'D-BF'!B12)</f>
        <v>EB</v>
      </c>
      <c r="B8" s="27" t="str">
        <f>IF('D-BF'!C12="","",'D-BF'!C12)</f>
        <v>01.01.</v>
      </c>
      <c r="C8" s="80" t="str">
        <f>IF('D-BF'!D12="","",'D-BF'!D12)</f>
        <v>AB Vorräte selbsterz.</v>
      </c>
      <c r="D8" s="81">
        <f>IF('D-BF'!J12="","",'D-BF'!J12)</f>
        <v>2529.6</v>
      </c>
      <c r="E8" s="615"/>
      <c r="F8" s="82" t="str">
        <f t="shared" si="0"/>
        <v/>
      </c>
      <c r="G8" s="615"/>
      <c r="H8" s="83" t="str">
        <f t="shared" si="1"/>
        <v/>
      </c>
    </row>
    <row r="9" spans="1:20" s="6" customFormat="1" ht="20.100000000000001" customHeight="1" x14ac:dyDescent="0.25">
      <c r="A9" s="27" t="str">
        <f>IF('D-BF'!B13="","",'D-BF'!B13)</f>
        <v>EB</v>
      </c>
      <c r="B9" s="27" t="str">
        <f>IF('D-BF'!C13="","",'D-BF'!C13)</f>
        <v>01.01.</v>
      </c>
      <c r="C9" s="80" t="str">
        <f>IF('D-BF'!D13="","",'D-BF'!D13)</f>
        <v>AB Vorräte zugekaufte</v>
      </c>
      <c r="D9" s="81">
        <f>IF('D-BF'!J13="","",'D-BF'!J13)</f>
        <v>3348.9</v>
      </c>
      <c r="E9" s="615"/>
      <c r="F9" s="82" t="str">
        <f t="shared" si="0"/>
        <v/>
      </c>
      <c r="G9" s="615"/>
      <c r="H9" s="83" t="str">
        <f t="shared" si="1"/>
        <v/>
      </c>
    </row>
    <row r="10" spans="1:20" s="6" customFormat="1" ht="20.100000000000001" customHeight="1" x14ac:dyDescent="0.25">
      <c r="A10" s="28" t="str">
        <f>IF('D-BF'!B14="","",'D-BF'!B14)</f>
        <v>EB</v>
      </c>
      <c r="B10" s="27" t="str">
        <f>IF('D-BF'!C14="","",'D-BF'!C14)</f>
        <v>01.01.</v>
      </c>
      <c r="C10" s="80" t="str">
        <f>IF('D-BF'!D14="","",'D-BF'!D14)</f>
        <v>AB Kassa (Bargeld)</v>
      </c>
      <c r="D10" s="81">
        <f>IF('D-BF'!J14="","",'D-BF'!J14)</f>
        <v>558.1</v>
      </c>
      <c r="E10" s="615"/>
      <c r="F10" s="82" t="str">
        <f t="shared" si="0"/>
        <v/>
      </c>
      <c r="G10" s="615"/>
      <c r="H10" s="83" t="str">
        <f t="shared" si="1"/>
        <v/>
      </c>
    </row>
    <row r="11" spans="1:20" s="6" customFormat="1" ht="20.100000000000001" customHeight="1" x14ac:dyDescent="0.25">
      <c r="A11" s="27" t="str">
        <f>IF('D-BF'!B15="","",'D-BF'!B15)</f>
        <v>EB</v>
      </c>
      <c r="B11" s="27" t="str">
        <f>IF('D-BF'!C15="","",'D-BF'!C15)</f>
        <v>01.01.</v>
      </c>
      <c r="C11" s="80" t="str">
        <f>IF('D-BF'!D15="","",'D-BF'!D15)</f>
        <v>AB Giro (Bankguthaben)</v>
      </c>
      <c r="D11" s="81">
        <f>IF('D-BF'!J15="","",'D-BF'!J15)</f>
        <v>30708.9</v>
      </c>
      <c r="E11" s="615"/>
      <c r="F11" s="82" t="str">
        <f t="shared" si="0"/>
        <v/>
      </c>
      <c r="G11" s="615"/>
      <c r="H11" s="83" t="str">
        <f t="shared" si="1"/>
        <v/>
      </c>
    </row>
    <row r="12" spans="1:20" s="6" customFormat="1" ht="20.100000000000001" customHeight="1" x14ac:dyDescent="0.25">
      <c r="A12" s="28" t="str">
        <f>IF('D-BF'!B16="","",'D-BF'!B16)</f>
        <v>EB</v>
      </c>
      <c r="B12" s="29" t="str">
        <f>IF('D-BF'!C16="","",'D-BF'!C16)</f>
        <v>01.01.</v>
      </c>
      <c r="C12" s="84" t="str">
        <f>IF('D-BF'!D16="","",'D-BF'!D16)</f>
        <v>AB Forderungen
Metzger Müller</v>
      </c>
      <c r="D12" s="81">
        <f>IF('D-BF'!J16="","",'D-BF'!J16)</f>
        <v>967.8</v>
      </c>
      <c r="E12" s="616"/>
      <c r="F12" s="85" t="str">
        <f t="shared" si="0"/>
        <v/>
      </c>
      <c r="G12" s="616"/>
      <c r="H12" s="85" t="str">
        <f t="shared" si="1"/>
        <v/>
      </c>
    </row>
    <row r="13" spans="1:20" s="6" customFormat="1" ht="20.100000000000001" customHeight="1" x14ac:dyDescent="0.25">
      <c r="A13" s="28" t="str">
        <f>IF('D-BF'!B17="","",'D-BF'!B17)</f>
        <v>EB</v>
      </c>
      <c r="B13" s="27" t="str">
        <f>IF('D-BF'!C17="","",'D-BF'!C17)</f>
        <v>01.01.</v>
      </c>
      <c r="C13" s="84" t="str">
        <f>IF('D-BF'!D17="","",'D-BF'!D17)</f>
        <v>AB Verbindlichkeiten Maschinenring Imst</v>
      </c>
      <c r="D13" s="81">
        <f>IF('D-BF'!J17="","",'D-BF'!J17)</f>
        <v>4991.7</v>
      </c>
      <c r="E13" s="616"/>
      <c r="F13" s="85"/>
      <c r="G13" s="616"/>
      <c r="H13" s="85"/>
    </row>
    <row r="14" spans="1:20" s="6" customFormat="1" ht="20.100000000000001" customHeight="1" x14ac:dyDescent="0.25">
      <c r="A14" s="28" t="str">
        <f>IF('D-BF'!B18="","",'D-BF'!B18)</f>
        <v>EB</v>
      </c>
      <c r="B14" s="27" t="str">
        <f>IF('D-BF'!C18="","",'D-BF'!C18)</f>
        <v>01.01.</v>
      </c>
      <c r="C14" s="80" t="str">
        <f>IF('D-BF'!D18="","",'D-BF'!D18)</f>
        <v>AB Darlehen</v>
      </c>
      <c r="D14" s="81">
        <f>IF('D-BF'!J18="","",'D-BF'!J18)</f>
        <v>9303.4</v>
      </c>
      <c r="E14" s="615"/>
      <c r="F14" s="82" t="str">
        <f t="shared" si="0"/>
        <v/>
      </c>
      <c r="G14" s="615"/>
      <c r="H14" s="82" t="str">
        <f t="shared" si="1"/>
        <v/>
      </c>
    </row>
    <row r="15" spans="1:20" s="6" customFormat="1" ht="18" customHeight="1" x14ac:dyDescent="0.25">
      <c r="A15" s="8"/>
      <c r="B15" s="8"/>
      <c r="D15" s="9"/>
    </row>
    <row r="16" spans="1:20" s="22" customFormat="1" ht="12.75" x14ac:dyDescent="0.25">
      <c r="A16" s="76" t="s">
        <v>24</v>
      </c>
      <c r="D16" s="77"/>
    </row>
    <row r="17" spans="1:10" s="6" customFormat="1" ht="17.100000000000001" customHeight="1" x14ac:dyDescent="0.25">
      <c r="A17" s="78" t="s">
        <v>9</v>
      </c>
      <c r="B17" s="78" t="s">
        <v>10</v>
      </c>
      <c r="C17" s="78" t="s">
        <v>11</v>
      </c>
      <c r="D17" s="79" t="s">
        <v>6</v>
      </c>
      <c r="E17" s="544" t="s">
        <v>25</v>
      </c>
      <c r="F17" s="545"/>
      <c r="G17" s="541" t="s">
        <v>100</v>
      </c>
      <c r="H17" s="542"/>
      <c r="I17" s="542"/>
      <c r="J17" s="543"/>
    </row>
    <row r="18" spans="1:10" s="6" customFormat="1" ht="20.100000000000001" customHeight="1" x14ac:dyDescent="0.25">
      <c r="A18" s="27" t="str">
        <f>IF('D-BF'!B22="","",'D-BF'!B22)</f>
        <v>K1</v>
      </c>
      <c r="B18" s="27" t="str">
        <f>IF('D-BF'!C22="","",'D-BF'!C22)</f>
        <v>07.01.</v>
      </c>
      <c r="C18" s="89" t="str">
        <f>IF('D-BF'!D22="","",'D-BF'!D22)</f>
        <v>Metzger Müller zahlt Rechnung aus Vorjahr</v>
      </c>
      <c r="D18" s="90">
        <f>D12</f>
        <v>967.8</v>
      </c>
      <c r="E18" s="539" t="str">
        <f>IF('D-BF'!F22="","",'D-BF'!F22)</f>
        <v>bar</v>
      </c>
      <c r="F18" s="540" t="s">
        <v>379</v>
      </c>
      <c r="G18" s="617"/>
      <c r="H18" s="83"/>
      <c r="I18" s="617"/>
      <c r="J18" s="83"/>
    </row>
    <row r="19" spans="1:10" s="6" customFormat="1" ht="20.100000000000001" customHeight="1" x14ac:dyDescent="0.25">
      <c r="A19" s="27" t="str">
        <f>IF('D-BF'!B23="","",'D-BF'!B23)</f>
        <v>B1</v>
      </c>
      <c r="B19" s="27" t="str">
        <f>IF('D-BF'!C23="","",'D-BF'!C23)</f>
        <v>10.01.</v>
      </c>
      <c r="C19" s="89" t="str">
        <f>IF('D-BF'!D23="","",'D-BF'!D23)</f>
        <v>Zahlung MR-Rechnung Vorjahr</v>
      </c>
      <c r="D19" s="90">
        <f>D13</f>
        <v>4991.7</v>
      </c>
      <c r="E19" s="539" t="str">
        <f>IF('D-BF'!F23="","",'D-BF'!F23)</f>
        <v>Überweisung</v>
      </c>
      <c r="F19" s="540" t="s">
        <v>379</v>
      </c>
      <c r="G19" s="617"/>
      <c r="H19" s="83"/>
      <c r="I19" s="617"/>
      <c r="J19" s="83"/>
    </row>
    <row r="20" spans="1:10" s="6" customFormat="1" ht="20.100000000000001" customHeight="1" x14ac:dyDescent="0.25">
      <c r="A20" s="27" t="str">
        <f>IF('D-BF'!B24="","",'D-BF'!B24)</f>
        <v>B2</v>
      </c>
      <c r="B20" s="27" t="str">
        <f>IF('D-BF'!C24="","",'D-BF'!C24)</f>
        <v>15.02.</v>
      </c>
      <c r="C20" s="80" t="str">
        <f>IF('D-BF'!D24="","",'D-BF'!D24)</f>
        <v>Treibstoffkauf</v>
      </c>
      <c r="D20" s="81">
        <f>IF('D-BF'!J24="","",'D-BF'!J24)</f>
        <v>432.2</v>
      </c>
      <c r="E20" s="539" t="str">
        <f>IF('D-BF'!F24="","",'D-BF'!F24)</f>
        <v>Überweisung</v>
      </c>
      <c r="F20" s="540" t="s">
        <v>379</v>
      </c>
      <c r="G20" s="617"/>
      <c r="H20" s="83" t="str">
        <f t="shared" ref="H20:H28" si="2">IF(G20="","",VLOOKUP(G20,KTOPL,2,0))</f>
        <v/>
      </c>
      <c r="I20" s="617"/>
      <c r="J20" s="83" t="str">
        <f t="shared" ref="J20:J29" si="3">IF(I20="","",VLOOKUP(I20,KTOPL,2,0))</f>
        <v/>
      </c>
    </row>
    <row r="21" spans="1:10" s="6" customFormat="1" ht="20.100000000000001" customHeight="1" x14ac:dyDescent="0.25">
      <c r="A21" s="27" t="str">
        <f>IF('D-BF'!B25="","",'D-BF'!B25)</f>
        <v>A1</v>
      </c>
      <c r="B21" s="27" t="str">
        <f>IF('D-BF'!C25="","",'D-BF'!C25)</f>
        <v>21.03.</v>
      </c>
      <c r="C21" s="80" t="str">
        <f>IF('D-BF'!D25="","",'D-BF'!D25)</f>
        <v>Zuchtschafverkauf</v>
      </c>
      <c r="D21" s="81">
        <f>IF('D-BF'!J25="","",'D-BF'!J25)</f>
        <v>673.9</v>
      </c>
      <c r="E21" s="539" t="str">
        <f>IF('D-BF'!F25="","",'D-BF'!F25)</f>
        <v>Rechnung: Tiroler Schafzuchtverband (TSV)</v>
      </c>
      <c r="F21" s="540" t="s">
        <v>379</v>
      </c>
      <c r="G21" s="617"/>
      <c r="H21" s="83" t="str">
        <f t="shared" si="2"/>
        <v/>
      </c>
      <c r="I21" s="617"/>
      <c r="J21" s="83" t="str">
        <f t="shared" si="3"/>
        <v/>
      </c>
    </row>
    <row r="22" spans="1:10" s="6" customFormat="1" ht="20.100000000000001" customHeight="1" x14ac:dyDescent="0.25">
      <c r="A22" s="27" t="str">
        <f>IF('D-BF'!B26="","",'D-BF'!B26)</f>
        <v>B3</v>
      </c>
      <c r="B22" s="27" t="str">
        <f>IF('D-BF'!C26="","",'D-BF'!C26)</f>
        <v>20.04.</v>
      </c>
      <c r="C22" s="89" t="str">
        <f>IF('D-BF'!D26="","",'D-BF'!D26)</f>
        <v>TSV überweist Vesteigerungsentgelt</v>
      </c>
      <c r="D22" s="90">
        <f>D21</f>
        <v>673.9</v>
      </c>
      <c r="E22" s="548" t="str">
        <f>IF('D-BF'!F26="","",'D-BF'!F26)</f>
        <v>Überweisung</v>
      </c>
      <c r="F22" s="549" t="s">
        <v>379</v>
      </c>
      <c r="G22" s="617"/>
      <c r="H22" s="83" t="str">
        <f t="shared" si="2"/>
        <v/>
      </c>
      <c r="I22" s="617"/>
      <c r="J22" s="83" t="str">
        <f t="shared" si="3"/>
        <v/>
      </c>
    </row>
    <row r="23" spans="1:10" s="6" customFormat="1" ht="20.100000000000001" customHeight="1" x14ac:dyDescent="0.25">
      <c r="A23" s="27" t="str">
        <f>IF('D-BF'!B27="","",'D-BF'!B27)</f>
        <v>B4</v>
      </c>
      <c r="B23" s="27" t="str">
        <f>IF('D-BF'!C27="","",'D-BF'!C27)</f>
        <v>09 06..</v>
      </c>
      <c r="C23" s="80" t="str">
        <f>IF('D-BF'!D27="","",'D-BF'!D27)</f>
        <v>Kauf Kreiselzetter</v>
      </c>
      <c r="D23" s="81">
        <f>IF('D-BF'!J27="","",'D-BF'!J27)</f>
        <v>13032.2</v>
      </c>
      <c r="E23" s="548" t="str">
        <f>IF('D-BF'!F27="","",'D-BF'!F27)</f>
        <v>Überweisung</v>
      </c>
      <c r="F23" s="549" t="s">
        <v>379</v>
      </c>
      <c r="G23" s="617"/>
      <c r="H23" s="83" t="str">
        <f t="shared" si="2"/>
        <v/>
      </c>
      <c r="I23" s="617"/>
      <c r="J23" s="83" t="str">
        <f t="shared" si="3"/>
        <v/>
      </c>
    </row>
    <row r="24" spans="1:10" s="6" customFormat="1" ht="20.100000000000001" customHeight="1" x14ac:dyDescent="0.25">
      <c r="A24" s="27" t="str">
        <f>IF('D-BF'!B28="","",'D-BF'!B28)</f>
        <v>K2</v>
      </c>
      <c r="B24" s="27" t="str">
        <f>IF('D-BF'!C28="","",'D-BF'!C28)</f>
        <v>14.07.</v>
      </c>
      <c r="C24" s="89" t="str">
        <f>IF('D-BF'!D28="","",'D-BF'!D28)</f>
        <v>Milchgeld (Schafmilch, Sammelbeleg)</v>
      </c>
      <c r="D24" s="81">
        <f>IF('D-BF'!J28="","",'D-BF'!J28)</f>
        <v>3535.3</v>
      </c>
      <c r="E24" s="548" t="str">
        <f>IF('D-BF'!F28="","",'D-BF'!F28)</f>
        <v>bar</v>
      </c>
      <c r="F24" s="549" t="s">
        <v>379</v>
      </c>
      <c r="G24" s="617"/>
      <c r="H24" s="83" t="str">
        <f t="shared" si="2"/>
        <v/>
      </c>
      <c r="I24" s="617"/>
      <c r="J24" s="83" t="str">
        <f t="shared" si="3"/>
        <v/>
      </c>
    </row>
    <row r="25" spans="1:10" s="6" customFormat="1" ht="20.100000000000001" customHeight="1" x14ac:dyDescent="0.25">
      <c r="A25" s="27" t="str">
        <f>IF('D-BF'!B29="","",'D-BF'!B29)</f>
        <v>B5</v>
      </c>
      <c r="B25" s="27" t="str">
        <f>IF('D-BF'!C29="","",'D-BF'!C29)</f>
        <v>02.08.</v>
      </c>
      <c r="C25" s="80" t="str">
        <f>IF('D-BF'!D29="","",'D-BF'!D29)</f>
        <v>Wohnhausumbau</v>
      </c>
      <c r="D25" s="81">
        <f>IF('D-BF'!J29="","",'D-BF'!J29)</f>
        <v>10792.5</v>
      </c>
      <c r="E25" s="548" t="str">
        <f>IF('D-BF'!F29="","",'D-BF'!F29)</f>
        <v>Überweisung</v>
      </c>
      <c r="F25" s="549" t="s">
        <v>379</v>
      </c>
      <c r="G25" s="617"/>
      <c r="H25" s="83" t="str">
        <f t="shared" si="2"/>
        <v/>
      </c>
      <c r="I25" s="617"/>
      <c r="J25" s="83" t="str">
        <f t="shared" si="3"/>
        <v/>
      </c>
    </row>
    <row r="26" spans="1:10" s="6" customFormat="1" ht="11.1" customHeight="1" x14ac:dyDescent="0.25">
      <c r="A26" s="29" t="str">
        <f>IF('D-BF'!B30="","",'D-BF'!B30)</f>
        <v>B6</v>
      </c>
      <c r="B26" s="29" t="str">
        <f>IF('D-BF'!C30="","",'D-BF'!C30)</f>
        <v>08.09.</v>
      </c>
      <c r="C26" s="91" t="str">
        <f>IF('D-BF'!D30="","",'D-BF'!D30)</f>
        <v>Rückzahlung Darlehen</v>
      </c>
      <c r="D26" s="92" t="str">
        <f>IF('D-BF'!J30="","",'D-BF'!J30)</f>
        <v/>
      </c>
      <c r="E26" s="93" t="str">
        <f>IF('D-BF'!F30="","",'D-BF'!F30)</f>
        <v/>
      </c>
      <c r="F26" s="94" t="str">
        <f>IF('D-BF'!G30="","",'D-BF'!G30)</f>
        <v/>
      </c>
      <c r="G26" s="95"/>
      <c r="H26" s="96"/>
      <c r="I26" s="95"/>
      <c r="J26" s="85"/>
    </row>
    <row r="27" spans="1:10" s="6" customFormat="1" ht="11.1" customHeight="1" x14ac:dyDescent="0.25">
      <c r="A27" s="97" t="str">
        <f>IF('D-BF'!B31="","",'D-BF'!B31)</f>
        <v>B6</v>
      </c>
      <c r="B27" s="97" t="str">
        <f>IF('D-BF'!C31="","",'D-BF'!C31)</f>
        <v>08.09.</v>
      </c>
      <c r="C27" s="98" t="str">
        <f>IF('D-BF'!D31="","",'D-BF'!D31)</f>
        <v xml:space="preserve">Darl.: Tilgung </v>
      </c>
      <c r="D27" s="99">
        <f>IF('D-BF'!J31="","",'D-BF'!J31)</f>
        <v>1339.6</v>
      </c>
      <c r="E27" s="550" t="str">
        <f>IF('D-BF'!F31="","",'D-BF'!F31)</f>
        <v>Überweisung</v>
      </c>
      <c r="F27" s="551" t="s">
        <v>379</v>
      </c>
      <c r="G27" s="618"/>
      <c r="H27" s="100" t="str">
        <f t="shared" ref="H27" si="4">IF(G27="","",VLOOKUP(G27,KTOPL,2,0))</f>
        <v/>
      </c>
      <c r="I27" s="618"/>
      <c r="J27" s="101" t="str">
        <f t="shared" ref="J27" si="5">IF(I27="","",VLOOKUP(I27,KTOPL,2,0))</f>
        <v/>
      </c>
    </row>
    <row r="28" spans="1:10" s="6" customFormat="1" ht="11.1" customHeight="1" x14ac:dyDescent="0.25">
      <c r="A28" s="28" t="str">
        <f>IF('D-BF'!B32="","",'D-BF'!B32)</f>
        <v>B6</v>
      </c>
      <c r="B28" s="28" t="str">
        <f>IF('D-BF'!C32="","",'D-BF'!C32)</f>
        <v>08.09.</v>
      </c>
      <c r="C28" s="102" t="str">
        <f>IF('D-BF'!D32="","",'D-BF'!D32)</f>
        <v>Darl.: Zinsen</v>
      </c>
      <c r="D28" s="103">
        <f>IF('D-BF'!J32="","",'D-BF'!J32)</f>
        <v>558.1</v>
      </c>
      <c r="E28" s="546" t="str">
        <f>IF('D-BF'!F32="","",'D-BF'!F32)</f>
        <v>Überweisung</v>
      </c>
      <c r="F28" s="547" t="s">
        <v>379</v>
      </c>
      <c r="G28" s="619"/>
      <c r="H28" s="104" t="str">
        <f t="shared" si="2"/>
        <v/>
      </c>
      <c r="I28" s="95"/>
      <c r="J28" s="83"/>
    </row>
    <row r="29" spans="1:10" s="6" customFormat="1" ht="11.1" customHeight="1" x14ac:dyDescent="0.25">
      <c r="A29" s="29" t="str">
        <f>IF('D-BF'!B33="","",'D-BF'!B33)</f>
        <v>UB1</v>
      </c>
      <c r="B29" s="29" t="str">
        <f>IF('D-BF'!C33="","",'D-BF'!C33)</f>
        <v>30.11.</v>
      </c>
      <c r="C29" s="91" t="str">
        <f>IF('D-BF'!D33="","",'D-BF'!D33)</f>
        <v>Eigenverbrauch Schafmilchprodukte</v>
      </c>
      <c r="D29" s="92" t="str">
        <f>IF('D-BF'!J33="","",'D-BF'!J33)</f>
        <v/>
      </c>
      <c r="E29" s="6" t="str">
        <f>IF('D-BF'!F33="","",'D-BF'!F33)</f>
        <v/>
      </c>
      <c r="F29" s="30" t="str">
        <f>IF('D-BF'!G33="","",'D-BF'!G33)</f>
        <v/>
      </c>
      <c r="G29" s="620"/>
      <c r="H29" s="105" t="str">
        <f>IF(G29="","",VLOOKUP(G29,KTOPL,2,0))</f>
        <v/>
      </c>
      <c r="I29" s="620"/>
      <c r="J29" s="105" t="str">
        <f t="shared" si="3"/>
        <v/>
      </c>
    </row>
    <row r="30" spans="1:10" s="6" customFormat="1" ht="11.1" customHeight="1" x14ac:dyDescent="0.25">
      <c r="A30" s="97" t="str">
        <f>IF('D-BF'!B34="","",'D-BF'!B34)</f>
        <v/>
      </c>
      <c r="B30" s="97" t="str">
        <f>IF('D-BF'!C34="","",'D-BF'!C34)</f>
        <v/>
      </c>
      <c r="C30" s="97" t="str">
        <f>IF('D-BF'!D34="","",'D-BF'!D34)</f>
        <v xml:space="preserve">Milch </v>
      </c>
      <c r="D30" s="99">
        <f>IF('D-BF'!J34="","",'D-BF'!J34)</f>
        <v>919.7</v>
      </c>
      <c r="E30" s="31" t="str">
        <f>IF('D-BF'!F34="","",'D-BF'!F34)</f>
        <v/>
      </c>
      <c r="F30" s="32" t="str">
        <f>IF('D-BF'!G34="","",'D-BF'!G34)</f>
        <v/>
      </c>
      <c r="G30" s="106"/>
      <c r="H30" s="107"/>
      <c r="I30" s="106"/>
      <c r="J30" s="107"/>
    </row>
    <row r="31" spans="1:10" s="6" customFormat="1" ht="11.1" customHeight="1" x14ac:dyDescent="0.25">
      <c r="A31" s="97" t="str">
        <f>IF('D-BF'!B35="","",'D-BF'!B35)</f>
        <v/>
      </c>
      <c r="B31" s="97" t="str">
        <f>IF('D-BF'!C35="","",'D-BF'!C35)</f>
        <v/>
      </c>
      <c r="C31" s="97" t="str">
        <f>IF('D-BF'!D35="","",'D-BF'!D35)</f>
        <v>Butter</v>
      </c>
      <c r="D31" s="99">
        <f>IF('D-BF'!J35="","",'D-BF'!J35)</f>
        <v>334.9</v>
      </c>
      <c r="E31" s="31" t="str">
        <f>IF('D-BF'!F35="","",'D-BF'!F35)</f>
        <v/>
      </c>
      <c r="F31" s="33">
        <f>IF('D-BF'!G35="","",'D-BF'!G35)</f>
        <v>1498.7999999999997</v>
      </c>
      <c r="G31" s="106"/>
      <c r="H31" s="107"/>
      <c r="I31" s="106"/>
      <c r="J31" s="107"/>
    </row>
    <row r="32" spans="1:10" s="6" customFormat="1" ht="11.1" customHeight="1" x14ac:dyDescent="0.25">
      <c r="A32" s="28" t="str">
        <f>IF('D-BF'!B36="","",'D-BF'!B36)</f>
        <v/>
      </c>
      <c r="B32" s="28" t="str">
        <f>IF('D-BF'!C36="","",'D-BF'!C36)</f>
        <v/>
      </c>
      <c r="C32" s="28" t="str">
        <f>IF('D-BF'!D36="","",'D-BF'!D36)</f>
        <v>Käse</v>
      </c>
      <c r="D32" s="103">
        <f>IF('D-BF'!J36="","",'D-BF'!J36)</f>
        <v>262.2</v>
      </c>
      <c r="E32" s="34" t="str">
        <f>IF('D-BF'!F36="","",'D-BF'!F36)</f>
        <v/>
      </c>
      <c r="F32" s="35" t="str">
        <f>IF('D-BF'!G36="","",'D-BF'!G36)</f>
        <v/>
      </c>
      <c r="G32" s="108"/>
      <c r="H32" s="109"/>
      <c r="I32" s="108"/>
      <c r="J32" s="109"/>
    </row>
    <row r="33" spans="1:8" s="6" customFormat="1" ht="18" customHeight="1" x14ac:dyDescent="0.25">
      <c r="A33" s="8"/>
      <c r="B33" s="8"/>
      <c r="D33" s="9"/>
    </row>
    <row r="34" spans="1:8" s="22" customFormat="1" ht="12.75" x14ac:dyDescent="0.25">
      <c r="A34" s="76" t="s">
        <v>64</v>
      </c>
      <c r="D34" s="77"/>
    </row>
    <row r="35" spans="1:8" s="6" customFormat="1" ht="17.100000000000001" customHeight="1" x14ac:dyDescent="0.25">
      <c r="A35" s="78" t="s">
        <v>9</v>
      </c>
      <c r="B35" s="78" t="s">
        <v>10</v>
      </c>
      <c r="C35" s="78" t="s">
        <v>11</v>
      </c>
      <c r="D35" s="79" t="s">
        <v>6</v>
      </c>
      <c r="E35" s="541" t="s">
        <v>100</v>
      </c>
      <c r="F35" s="542"/>
      <c r="G35" s="542"/>
      <c r="H35" s="543"/>
    </row>
    <row r="36" spans="1:8" s="6" customFormat="1" ht="17.100000000000001" customHeight="1" x14ac:dyDescent="0.25">
      <c r="A36" s="36" t="s">
        <v>65</v>
      </c>
      <c r="B36" s="37"/>
      <c r="C36" s="38"/>
      <c r="D36" s="39"/>
      <c r="E36" s="110"/>
      <c r="F36" s="111"/>
      <c r="G36" s="110"/>
      <c r="H36" s="112"/>
    </row>
    <row r="37" spans="1:8" s="6" customFormat="1" ht="20.100000000000001" customHeight="1" x14ac:dyDescent="0.25">
      <c r="A37" s="27" t="str">
        <f>IF('D-BF'!B41="","",'D-BF'!B41)</f>
        <v>AB</v>
      </c>
      <c r="B37" s="27" t="str">
        <f>IF('D-BF'!C41="","",'D-BF'!C41)</f>
        <v>31.12.</v>
      </c>
      <c r="C37" s="80" t="str">
        <f>IF('D-BF'!D41="","",'D-BF'!D41)</f>
        <v>Afa Gebäude</v>
      </c>
      <c r="D37" s="81">
        <f>IF('D-BF'!J41="","",'D-BF'!J41)</f>
        <v>4268.6000000000004</v>
      </c>
      <c r="E37" s="617"/>
      <c r="F37" s="83" t="str">
        <f>IF(E37="","",VLOOKUP(E37,KTOPL,2,0))</f>
        <v/>
      </c>
      <c r="G37" s="617"/>
      <c r="H37" s="83" t="str">
        <f>IF(G37="","",VLOOKUP(G37,KTOPL,2,0))</f>
        <v/>
      </c>
    </row>
    <row r="38" spans="1:8" s="6" customFormat="1" ht="20.100000000000001" customHeight="1" x14ac:dyDescent="0.25">
      <c r="A38" s="27" t="str">
        <f>IF('D-BF'!B42="","",'D-BF'!B42)</f>
        <v>AB</v>
      </c>
      <c r="B38" s="40" t="str">
        <f>IF('D-BF'!C42="","",'D-BF'!C42)</f>
        <v>31.12.</v>
      </c>
      <c r="C38" s="80" t="str">
        <f>IF('D-BF'!D42="","",'D-BF'!D42)</f>
        <v>Afa Maschinen</v>
      </c>
      <c r="D38" s="81">
        <f>IF('D-BF'!J42="","",'D-BF'!J42)</f>
        <v>3423.7</v>
      </c>
      <c r="E38" s="617"/>
      <c r="F38" s="83" t="str">
        <f>IF(E38="","",VLOOKUP(E38,KTOPL,2,0))</f>
        <v/>
      </c>
      <c r="G38" s="617"/>
      <c r="H38" s="83" t="str">
        <f>IF(G38="","",VLOOKUP(G38,KTOPL,2,0))</f>
        <v/>
      </c>
    </row>
    <row r="39" spans="1:8" s="6" customFormat="1" ht="17.100000000000001" customHeight="1" x14ac:dyDescent="0.25">
      <c r="A39" s="41" t="s">
        <v>70</v>
      </c>
      <c r="B39" s="42"/>
      <c r="C39" s="43"/>
      <c r="D39" s="44"/>
      <c r="E39" s="113"/>
      <c r="F39" s="113"/>
      <c r="G39" s="113"/>
      <c r="H39" s="114"/>
    </row>
    <row r="40" spans="1:8" s="6" customFormat="1" ht="20.100000000000001" customHeight="1" x14ac:dyDescent="0.25">
      <c r="A40" s="27" t="str">
        <f>IF('D-BF'!B44="","",'D-BF'!B44)</f>
        <v>AB</v>
      </c>
      <c r="B40" s="29" t="str">
        <f>IF('D-BF'!C44="","",'D-BF'!C44)</f>
        <v>31.12.</v>
      </c>
      <c r="C40" s="80" t="str">
        <f>IF('D-BF'!D44="","",'D-BF'!D44)</f>
        <v>Mehrwert Schafe</v>
      </c>
      <c r="D40" s="92">
        <f>IF('D-BF'!J44="","",'D-BF'!J44)</f>
        <v>502.9</v>
      </c>
      <c r="E40" s="621"/>
      <c r="F40" s="83" t="str">
        <f>IF(E40="","",VLOOKUP(E40,KTOPL,2,0))</f>
        <v/>
      </c>
      <c r="G40" s="620"/>
      <c r="H40" s="83" t="str">
        <f>IF(G40="","",VLOOKUP(G40,KTOPL,2,0))</f>
        <v/>
      </c>
    </row>
    <row r="41" spans="1:8" s="6" customFormat="1" ht="20.100000000000001" customHeight="1" x14ac:dyDescent="0.25">
      <c r="A41" s="27" t="str">
        <f>IF('D-BF'!B45="","",'D-BF'!B45)</f>
        <v>AB</v>
      </c>
      <c r="B41" s="27" t="str">
        <f>IF('D-BF'!C45="","",'D-BF'!C45)</f>
        <v>31.12.</v>
      </c>
      <c r="C41" s="89" t="str">
        <f>IF('D-BF'!D45="","",'D-BF'!D45)</f>
        <v>Minderwert se. Vorr. (Schafskäse)</v>
      </c>
      <c r="D41" s="81">
        <f>IF('D-BF'!J45="","",'D-BF'!J45)</f>
        <v>1041.5999999999999</v>
      </c>
      <c r="E41" s="617"/>
      <c r="F41" s="83" t="str">
        <f>IF(E41="","",VLOOKUP(E41,KTOPL,2,0))</f>
        <v/>
      </c>
      <c r="G41" s="617"/>
      <c r="H41" s="83" t="str">
        <f>IF(G41="","",VLOOKUP(G41,KTOPL,2,0))</f>
        <v/>
      </c>
    </row>
    <row r="42" spans="1:8" s="6" customFormat="1" ht="20.100000000000001" customHeight="1" x14ac:dyDescent="0.25">
      <c r="A42" s="27" t="str">
        <f>IF('D-BF'!B46="","",'D-BF'!B46)</f>
        <v>AB</v>
      </c>
      <c r="B42" s="27" t="str">
        <f>IF('D-BF'!C46="","",'D-BF'!C46)</f>
        <v>31.12.</v>
      </c>
      <c r="C42" s="89" t="str">
        <f>IF('D-BF'!D46="","",'D-BF'!D46)</f>
        <v>Mehrwert zk. Vorr. (Treibstoff)</v>
      </c>
      <c r="D42" s="81">
        <f>IF('D-BF'!J46="","",'D-BF'!J46)</f>
        <v>260.10000000000002</v>
      </c>
      <c r="E42" s="617"/>
      <c r="F42" s="83" t="str">
        <f>IF(E42="","",VLOOKUP(E42,KTOPL,2,0))</f>
        <v/>
      </c>
      <c r="G42" s="617"/>
      <c r="H42" s="83" t="str">
        <f>IF(G42="","",VLOOKUP(G42,KTOPL,2,0))</f>
        <v/>
      </c>
    </row>
    <row r="43" spans="1:8" s="6" customFormat="1" ht="12.75" customHeight="1" x14ac:dyDescent="0.25">
      <c r="A43" s="8"/>
      <c r="B43" s="8"/>
      <c r="D43" s="9"/>
    </row>
    <row r="44" spans="1:8" x14ac:dyDescent="0.25"/>
    <row r="45" spans="1:8" x14ac:dyDescent="0.25"/>
    <row r="46" spans="1:8" x14ac:dyDescent="0.25"/>
    <row r="47" spans="1:8" x14ac:dyDescent="0.25"/>
    <row r="48" spans="1:8" x14ac:dyDescent="0.25"/>
    <row r="49" x14ac:dyDescent="0.25"/>
  </sheetData>
  <sheetProtection algorithmName="SHA-512" hashValue="ohTlfkxIAxwJ7xXwqNPNuJEy7paijAB/1o/ZN5D/b5Wilgt8wZrFHBPKzvdsk9B6dh/z3oJl5J9nLU8TVULPDQ==" saltValue="50tulHVpFBB6GhIEtbNzEw==" spinCount="100000" sheet="1" objects="1" scenarios="1"/>
  <mergeCells count="14">
    <mergeCell ref="E28:F28"/>
    <mergeCell ref="E35:H35"/>
    <mergeCell ref="E21:F21"/>
    <mergeCell ref="E22:F22"/>
    <mergeCell ref="E23:F23"/>
    <mergeCell ref="E24:F24"/>
    <mergeCell ref="E25:F25"/>
    <mergeCell ref="E27:F27"/>
    <mergeCell ref="E20:F20"/>
    <mergeCell ref="E4:H4"/>
    <mergeCell ref="E17:F17"/>
    <mergeCell ref="G17:J17"/>
    <mergeCell ref="E18:F18"/>
    <mergeCell ref="E19:F19"/>
  </mergeCells>
  <dataValidations count="1">
    <dataValidation type="list" allowBlank="1" showInputMessage="1" showErrorMessage="1" sqref="G40:G42 I27 E40:E42 I29 E37:E38 E5:E14 G5:G14 G37:G38 G20:G25 I20:I25 G27:G29" xr:uid="{00000000-0002-0000-0200-000000000000}">
      <formula1>KTONR</formula1>
    </dataValidation>
  </dataValidations>
  <pageMargins left="0.59055118110236227" right="0.39370078740157483" top="0.78740157480314965" bottom="0.59055118110236227" header="0.39370078740157483" footer="0.31496062992125984"/>
  <pageSetup paperSize="9" scale="95" orientation="portrait" blackAndWhite="1" r:id="rId1"/>
  <headerFooter>
    <oddFooter>&amp;R&amp;"+,Fett"&amp;8Seite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B103"/>
  <sheetViews>
    <sheetView showGridLines="0" showRowColHeaders="0" workbookViewId="0">
      <pane ySplit="1" topLeftCell="A2" activePane="bottomLeft" state="frozen"/>
      <selection activeCell="E5" sqref="E5"/>
      <selection pane="bottomLeft" activeCell="C5" sqref="C5"/>
    </sheetView>
  </sheetViews>
  <sheetFormatPr baseColWidth="10" defaultColWidth="0" defaultRowHeight="15" zeroHeight="1" x14ac:dyDescent="0.25"/>
  <cols>
    <col min="1" max="1" width="0.140625" style="95" customWidth="1"/>
    <col min="2" max="2" width="11.42578125" style="95" hidden="1"/>
    <col min="3" max="3" width="4.7109375" style="95" customWidth="1"/>
    <col min="4" max="4" width="5.7109375" style="95" customWidth="1"/>
    <col min="5" max="5" width="22.7109375" style="95" customWidth="1"/>
    <col min="6" max="7" width="11.7109375" style="95" customWidth="1"/>
    <col min="8" max="8" width="1.7109375" style="95" customWidth="1"/>
    <col min="9" max="9" width="4.7109375" style="95" customWidth="1"/>
    <col min="10" max="10" width="5.7109375" style="95" customWidth="1"/>
    <col min="11" max="11" width="22.7109375" style="95" customWidth="1"/>
    <col min="12" max="13" width="11.7109375" style="95" customWidth="1"/>
    <col min="14" max="14" width="1.7109375" style="95" customWidth="1"/>
    <col min="15" max="15" width="4.7109375" style="95" customWidth="1"/>
    <col min="16" max="16" width="5.7109375" style="95" customWidth="1"/>
    <col min="17" max="17" width="22.7109375" style="95" customWidth="1"/>
    <col min="18" max="19" width="11.7109375" style="95" customWidth="1"/>
    <col min="20" max="20" width="2.7109375" style="95" customWidth="1"/>
    <col min="21" max="28" width="11.42578125" style="95" customWidth="1"/>
    <col min="29" max="16384" width="11.42578125" style="95" hidden="1"/>
  </cols>
  <sheetData>
    <row r="1" spans="3:28" s="6" customFormat="1" ht="27" customHeight="1" x14ac:dyDescent="0.25">
      <c r="C1" s="73" t="s">
        <v>101</v>
      </c>
      <c r="D1" s="73"/>
      <c r="E1" s="73"/>
      <c r="F1" s="73"/>
      <c r="G1" s="73"/>
      <c r="H1" s="73"/>
      <c r="I1" s="73"/>
      <c r="J1" s="73"/>
      <c r="K1" s="73"/>
      <c r="L1" s="73"/>
      <c r="M1" s="73"/>
      <c r="N1" s="73"/>
      <c r="O1" s="73"/>
      <c r="P1" s="73"/>
      <c r="Q1" s="73"/>
      <c r="R1" s="73"/>
      <c r="S1" s="73"/>
      <c r="T1" s="5"/>
      <c r="U1" s="75" t="s">
        <v>102</v>
      </c>
      <c r="V1" s="5"/>
      <c r="W1" s="5"/>
      <c r="X1" s="5"/>
      <c r="Y1" s="5"/>
      <c r="Z1" s="5"/>
      <c r="AA1" s="5"/>
      <c r="AB1" s="5"/>
    </row>
    <row r="2" spans="3:28" s="6" customFormat="1" ht="30" customHeight="1" x14ac:dyDescent="0.2">
      <c r="C2" s="393" t="s">
        <v>103</v>
      </c>
      <c r="D2" s="453"/>
      <c r="E2" s="454"/>
      <c r="F2" s="455"/>
      <c r="G2" s="455"/>
      <c r="H2" s="453"/>
      <c r="I2" s="393" t="s">
        <v>103</v>
      </c>
      <c r="J2" s="453"/>
      <c r="K2" s="456"/>
      <c r="L2" s="455"/>
      <c r="M2" s="455"/>
      <c r="N2" s="453"/>
      <c r="O2" s="393" t="s">
        <v>104</v>
      </c>
      <c r="P2" s="453"/>
      <c r="Q2" s="454"/>
      <c r="R2" s="455"/>
      <c r="S2" s="455"/>
    </row>
    <row r="3" spans="3:28" s="6" customFormat="1" ht="20.100000000000001" customHeight="1" x14ac:dyDescent="0.25">
      <c r="C3" s="457"/>
      <c r="D3" s="458"/>
      <c r="E3" s="459" t="str">
        <f>IF(G3="","",VLOOKUP(G3,KTOPL,2,0))</f>
        <v>Betriebs- und Geschäftsgebäude</v>
      </c>
      <c r="F3" s="460" t="s">
        <v>105</v>
      </c>
      <c r="G3" s="506" t="s">
        <v>170</v>
      </c>
      <c r="I3" s="457"/>
      <c r="J3" s="458"/>
      <c r="K3" s="459" t="str">
        <f>IF(M3="","",VLOOKUP(M3,KTOPL,2,0))</f>
        <v/>
      </c>
      <c r="L3" s="460" t="s">
        <v>105</v>
      </c>
      <c r="M3" s="506"/>
      <c r="O3" s="461"/>
      <c r="P3" s="462"/>
      <c r="Q3" s="463" t="str">
        <f>IF(S3="","",VLOOKUP(S3,KTOPL,2,0))</f>
        <v/>
      </c>
      <c r="R3" s="464" t="s">
        <v>105</v>
      </c>
      <c r="S3" s="505"/>
    </row>
    <row r="4" spans="3:28" s="6" customFormat="1" ht="20.100000000000001" customHeight="1" x14ac:dyDescent="0.25">
      <c r="C4" s="465" t="s">
        <v>106</v>
      </c>
      <c r="D4" s="466" t="s">
        <v>107</v>
      </c>
      <c r="E4" s="465" t="s">
        <v>11</v>
      </c>
      <c r="F4" s="467" t="s">
        <v>108</v>
      </c>
      <c r="G4" s="467" t="s">
        <v>109</v>
      </c>
      <c r="I4" s="465" t="s">
        <v>106</v>
      </c>
      <c r="J4" s="466" t="s">
        <v>107</v>
      </c>
      <c r="K4" s="465" t="s">
        <v>11</v>
      </c>
      <c r="L4" s="467" t="s">
        <v>108</v>
      </c>
      <c r="M4" s="467" t="s">
        <v>109</v>
      </c>
      <c r="O4" s="468" t="s">
        <v>106</v>
      </c>
      <c r="P4" s="469" t="s">
        <v>107</v>
      </c>
      <c r="Q4" s="468" t="s">
        <v>11</v>
      </c>
      <c r="R4" s="470" t="s">
        <v>108</v>
      </c>
      <c r="S4" s="470" t="s">
        <v>109</v>
      </c>
    </row>
    <row r="5" spans="3:28" s="6" customFormat="1" ht="20.100000000000001" customHeight="1" x14ac:dyDescent="0.25">
      <c r="C5" s="492"/>
      <c r="D5" s="493"/>
      <c r="E5" s="494"/>
      <c r="F5" s="495"/>
      <c r="G5" s="496"/>
      <c r="H5" s="471"/>
      <c r="I5" s="492"/>
      <c r="J5" s="493"/>
      <c r="K5" s="494"/>
      <c r="L5" s="495"/>
      <c r="M5" s="496"/>
      <c r="N5" s="471"/>
      <c r="O5" s="492"/>
      <c r="P5" s="493"/>
      <c r="Q5" s="494"/>
      <c r="R5" s="495"/>
      <c r="S5" s="496"/>
    </row>
    <row r="6" spans="3:28" s="6" customFormat="1" ht="20.100000000000001" customHeight="1" x14ac:dyDescent="0.25">
      <c r="C6" s="497"/>
      <c r="D6" s="498"/>
      <c r="E6" s="499"/>
      <c r="F6" s="500"/>
      <c r="G6" s="500"/>
      <c r="H6" s="471"/>
      <c r="I6" s="497"/>
      <c r="J6" s="498"/>
      <c r="K6" s="499"/>
      <c r="L6" s="500"/>
      <c r="M6" s="500"/>
      <c r="N6" s="471"/>
      <c r="O6" s="497"/>
      <c r="P6" s="498"/>
      <c r="Q6" s="499"/>
      <c r="R6" s="500"/>
      <c r="S6" s="500"/>
    </row>
    <row r="7" spans="3:28" s="6" customFormat="1" ht="20.100000000000001" customHeight="1" x14ac:dyDescent="0.25">
      <c r="C7" s="497"/>
      <c r="D7" s="498"/>
      <c r="E7" s="499"/>
      <c r="F7" s="500"/>
      <c r="G7" s="500"/>
      <c r="H7" s="471"/>
      <c r="I7" s="497"/>
      <c r="J7" s="498"/>
      <c r="K7" s="499"/>
      <c r="L7" s="500"/>
      <c r="M7" s="500"/>
      <c r="N7" s="471"/>
      <c r="O7" s="497"/>
      <c r="P7" s="498"/>
      <c r="Q7" s="499"/>
      <c r="R7" s="500"/>
      <c r="S7" s="500"/>
    </row>
    <row r="8" spans="3:28" s="6" customFormat="1" ht="20.100000000000001" customHeight="1" x14ac:dyDescent="0.25">
      <c r="C8" s="406" t="s">
        <v>66</v>
      </c>
      <c r="D8" s="407" t="s">
        <v>67</v>
      </c>
      <c r="E8" s="473" t="s">
        <v>110</v>
      </c>
      <c r="F8" s="501"/>
      <c r="G8" s="501"/>
      <c r="H8" s="471"/>
      <c r="I8" s="406" t="s">
        <v>66</v>
      </c>
      <c r="J8" s="407" t="s">
        <v>67</v>
      </c>
      <c r="K8" s="473" t="s">
        <v>110</v>
      </c>
      <c r="L8" s="501"/>
      <c r="M8" s="501"/>
      <c r="N8" s="471"/>
      <c r="O8" s="406" t="s">
        <v>66</v>
      </c>
      <c r="P8" s="407" t="s">
        <v>67</v>
      </c>
      <c r="Q8" s="473" t="s">
        <v>110</v>
      </c>
      <c r="R8" s="501"/>
      <c r="S8" s="501"/>
    </row>
    <row r="9" spans="3:28" s="6" customFormat="1" ht="20.100000000000001" customHeight="1" thickBot="1" x14ac:dyDescent="0.3">
      <c r="C9" s="408"/>
      <c r="D9" s="409"/>
      <c r="E9" s="410" t="s">
        <v>111</v>
      </c>
      <c r="F9" s="502"/>
      <c r="G9" s="502"/>
      <c r="I9" s="408"/>
      <c r="J9" s="409"/>
      <c r="K9" s="410" t="s">
        <v>111</v>
      </c>
      <c r="L9" s="502"/>
      <c r="M9" s="502"/>
      <c r="O9" s="408"/>
      <c r="P9" s="409"/>
      <c r="Q9" s="410" t="s">
        <v>111</v>
      </c>
      <c r="R9" s="502"/>
      <c r="S9" s="502"/>
    </row>
    <row r="10" spans="3:28" s="6" customFormat="1" ht="20.100000000000001" customHeight="1" thickTop="1" x14ac:dyDescent="0.2">
      <c r="C10" s="393" t="s">
        <v>112</v>
      </c>
      <c r="D10" s="474"/>
      <c r="E10" s="475"/>
      <c r="F10" s="476"/>
      <c r="G10" s="476"/>
      <c r="I10" s="393" t="s">
        <v>112</v>
      </c>
      <c r="J10" s="474"/>
      <c r="L10" s="476"/>
      <c r="M10" s="476"/>
      <c r="O10" s="393" t="s">
        <v>104</v>
      </c>
      <c r="P10" s="474"/>
      <c r="Q10" s="475"/>
      <c r="R10" s="476"/>
      <c r="S10" s="476"/>
    </row>
    <row r="11" spans="3:28" s="6" customFormat="1" ht="20.100000000000001" customHeight="1" x14ac:dyDescent="0.25">
      <c r="C11" s="477"/>
      <c r="D11" s="478"/>
      <c r="E11" s="479" t="str">
        <f>IF(G11="","",VLOOKUP(G11,KTOPL,2,0))</f>
        <v/>
      </c>
      <c r="F11" s="480" t="s">
        <v>105</v>
      </c>
      <c r="G11" s="504"/>
      <c r="I11" s="477"/>
      <c r="J11" s="478"/>
      <c r="K11" s="479" t="str">
        <f>IF(M11="","",VLOOKUP(M11,KTOPL,2,0))</f>
        <v>Bank - betrieblich 1</v>
      </c>
      <c r="L11" s="480" t="s">
        <v>105</v>
      </c>
      <c r="M11" s="481" t="s">
        <v>113</v>
      </c>
      <c r="O11" s="461"/>
      <c r="P11" s="462"/>
      <c r="Q11" s="463" t="str">
        <f>IF(S11="","",VLOOKUP(S11,KTOPL,2,0))</f>
        <v/>
      </c>
      <c r="R11" s="464" t="s">
        <v>105</v>
      </c>
      <c r="S11" s="505"/>
    </row>
    <row r="12" spans="3:28" s="6" customFormat="1" ht="20.100000000000001" customHeight="1" x14ac:dyDescent="0.25">
      <c r="C12" s="482" t="s">
        <v>106</v>
      </c>
      <c r="D12" s="483" t="s">
        <v>107</v>
      </c>
      <c r="E12" s="482" t="s">
        <v>11</v>
      </c>
      <c r="F12" s="484" t="s">
        <v>108</v>
      </c>
      <c r="G12" s="484" t="s">
        <v>109</v>
      </c>
      <c r="I12" s="482" t="s">
        <v>106</v>
      </c>
      <c r="J12" s="483" t="s">
        <v>107</v>
      </c>
      <c r="K12" s="482" t="s">
        <v>11</v>
      </c>
      <c r="L12" s="484" t="s">
        <v>108</v>
      </c>
      <c r="M12" s="484" t="s">
        <v>109</v>
      </c>
      <c r="O12" s="468" t="s">
        <v>106</v>
      </c>
      <c r="P12" s="469" t="s">
        <v>107</v>
      </c>
      <c r="Q12" s="468" t="s">
        <v>11</v>
      </c>
      <c r="R12" s="470" t="s">
        <v>108</v>
      </c>
      <c r="S12" s="470" t="s">
        <v>109</v>
      </c>
    </row>
    <row r="13" spans="3:28" s="6" customFormat="1" ht="20.100000000000001" customHeight="1" x14ac:dyDescent="0.25">
      <c r="C13" s="492"/>
      <c r="D13" s="493"/>
      <c r="E13" s="494"/>
      <c r="F13" s="495"/>
      <c r="G13" s="496"/>
      <c r="H13" s="471"/>
      <c r="I13" s="492"/>
      <c r="J13" s="493"/>
      <c r="K13" s="494"/>
      <c r="L13" s="495"/>
      <c r="M13" s="496"/>
      <c r="N13" s="471"/>
      <c r="O13" s="492"/>
      <c r="P13" s="493"/>
      <c r="Q13" s="494"/>
      <c r="R13" s="495"/>
      <c r="S13" s="496"/>
    </row>
    <row r="14" spans="3:28" s="6" customFormat="1" ht="20.100000000000001" customHeight="1" x14ac:dyDescent="0.25">
      <c r="C14" s="497"/>
      <c r="D14" s="498"/>
      <c r="E14" s="499"/>
      <c r="F14" s="500"/>
      <c r="G14" s="500"/>
      <c r="H14" s="471"/>
      <c r="I14" s="497"/>
      <c r="J14" s="498"/>
      <c r="K14" s="499"/>
      <c r="L14" s="500"/>
      <c r="M14" s="500"/>
      <c r="N14" s="471"/>
      <c r="O14" s="497"/>
      <c r="P14" s="498"/>
      <c r="Q14" s="499"/>
      <c r="R14" s="500"/>
      <c r="S14" s="500"/>
    </row>
    <row r="15" spans="3:28" s="6" customFormat="1" ht="20.100000000000001" customHeight="1" x14ac:dyDescent="0.25">
      <c r="C15" s="497"/>
      <c r="D15" s="498"/>
      <c r="E15" s="499"/>
      <c r="F15" s="500"/>
      <c r="G15" s="500"/>
      <c r="H15" s="471"/>
      <c r="I15" s="497"/>
      <c r="J15" s="498"/>
      <c r="K15" s="499"/>
      <c r="L15" s="500"/>
      <c r="M15" s="500"/>
      <c r="N15" s="471"/>
      <c r="O15" s="497"/>
      <c r="P15" s="498"/>
      <c r="Q15" s="499"/>
      <c r="R15" s="500"/>
      <c r="S15" s="500"/>
    </row>
    <row r="16" spans="3:28" s="6" customFormat="1" ht="20.100000000000001" customHeight="1" x14ac:dyDescent="0.25">
      <c r="C16" s="406" t="s">
        <v>66</v>
      </c>
      <c r="D16" s="407" t="s">
        <v>67</v>
      </c>
      <c r="E16" s="473" t="s">
        <v>110</v>
      </c>
      <c r="F16" s="501"/>
      <c r="G16" s="501"/>
      <c r="H16" s="471"/>
      <c r="I16" s="497"/>
      <c r="J16" s="498"/>
      <c r="K16" s="499"/>
      <c r="L16" s="500"/>
      <c r="M16" s="500"/>
      <c r="N16" s="471"/>
      <c r="O16" s="406" t="s">
        <v>66</v>
      </c>
      <c r="P16" s="407" t="s">
        <v>67</v>
      </c>
      <c r="Q16" s="473" t="s">
        <v>110</v>
      </c>
      <c r="R16" s="501"/>
      <c r="S16" s="501"/>
    </row>
    <row r="17" spans="3:19" s="6" customFormat="1" ht="20.100000000000001" customHeight="1" thickBot="1" x14ac:dyDescent="0.3">
      <c r="C17" s="408"/>
      <c r="D17" s="409"/>
      <c r="E17" s="410" t="s">
        <v>111</v>
      </c>
      <c r="F17" s="502"/>
      <c r="G17" s="502"/>
      <c r="I17" s="497"/>
      <c r="J17" s="498"/>
      <c r="K17" s="499"/>
      <c r="L17" s="500"/>
      <c r="M17" s="500"/>
      <c r="O17" s="408"/>
      <c r="P17" s="409"/>
      <c r="Q17" s="410" t="s">
        <v>111</v>
      </c>
      <c r="R17" s="502"/>
      <c r="S17" s="502"/>
    </row>
    <row r="18" spans="3:19" s="6" customFormat="1" ht="20.100000000000001" customHeight="1" thickTop="1" x14ac:dyDescent="0.2">
      <c r="C18" s="393" t="s">
        <v>112</v>
      </c>
      <c r="D18" s="474"/>
      <c r="E18" s="475"/>
      <c r="F18" s="476"/>
      <c r="G18" s="476"/>
      <c r="I18" s="497"/>
      <c r="J18" s="498"/>
      <c r="K18" s="499"/>
      <c r="L18" s="500"/>
      <c r="M18" s="500"/>
      <c r="O18" s="393" t="s">
        <v>104</v>
      </c>
      <c r="P18" s="474"/>
      <c r="Q18" s="475"/>
      <c r="R18" s="476"/>
      <c r="S18" s="476"/>
    </row>
    <row r="19" spans="3:19" s="6" customFormat="1" ht="20.100000000000001" customHeight="1" x14ac:dyDescent="0.25">
      <c r="C19" s="477"/>
      <c r="D19" s="478"/>
      <c r="E19" s="479" t="str">
        <f>IF(G19="","",VLOOKUP(G19,KTOPL,2,0))</f>
        <v/>
      </c>
      <c r="F19" s="480" t="s">
        <v>105</v>
      </c>
      <c r="G19" s="504"/>
      <c r="I19" s="497"/>
      <c r="J19" s="498"/>
      <c r="K19" s="499"/>
      <c r="L19" s="500"/>
      <c r="M19" s="500"/>
      <c r="O19" s="461"/>
      <c r="P19" s="462"/>
      <c r="Q19" s="463" t="str">
        <f>IF(S19="","",VLOOKUP(S19,KTOPL,2,0))</f>
        <v/>
      </c>
      <c r="R19" s="464" t="s">
        <v>105</v>
      </c>
      <c r="S19" s="505"/>
    </row>
    <row r="20" spans="3:19" s="6" customFormat="1" ht="20.100000000000001" customHeight="1" x14ac:dyDescent="0.25">
      <c r="C20" s="482" t="s">
        <v>106</v>
      </c>
      <c r="D20" s="483" t="s">
        <v>107</v>
      </c>
      <c r="E20" s="482" t="s">
        <v>11</v>
      </c>
      <c r="F20" s="484" t="s">
        <v>108</v>
      </c>
      <c r="G20" s="484" t="s">
        <v>109</v>
      </c>
      <c r="I20" s="497"/>
      <c r="J20" s="498"/>
      <c r="K20" s="499"/>
      <c r="L20" s="500"/>
      <c r="M20" s="500"/>
      <c r="O20" s="468" t="s">
        <v>106</v>
      </c>
      <c r="P20" s="469" t="s">
        <v>107</v>
      </c>
      <c r="Q20" s="468" t="s">
        <v>11</v>
      </c>
      <c r="R20" s="470" t="s">
        <v>108</v>
      </c>
      <c r="S20" s="470" t="s">
        <v>109</v>
      </c>
    </row>
    <row r="21" spans="3:19" s="6" customFormat="1" ht="20.100000000000001" customHeight="1" x14ac:dyDescent="0.25">
      <c r="C21" s="492"/>
      <c r="D21" s="493"/>
      <c r="E21" s="494"/>
      <c r="F21" s="495"/>
      <c r="G21" s="496"/>
      <c r="I21" s="497"/>
      <c r="J21" s="498"/>
      <c r="K21" s="499"/>
      <c r="L21" s="500"/>
      <c r="M21" s="500"/>
      <c r="O21" s="492"/>
      <c r="P21" s="493"/>
      <c r="Q21" s="494"/>
      <c r="R21" s="495"/>
      <c r="S21" s="496"/>
    </row>
    <row r="22" spans="3:19" s="6" customFormat="1" ht="20.100000000000001" customHeight="1" x14ac:dyDescent="0.25">
      <c r="C22" s="497"/>
      <c r="D22" s="498"/>
      <c r="E22" s="499"/>
      <c r="F22" s="500"/>
      <c r="G22" s="500"/>
      <c r="I22" s="497"/>
      <c r="J22" s="498"/>
      <c r="K22" s="499"/>
      <c r="L22" s="500"/>
      <c r="M22" s="500"/>
      <c r="O22" s="497"/>
      <c r="P22" s="498"/>
      <c r="Q22" s="499"/>
      <c r="R22" s="500"/>
      <c r="S22" s="500"/>
    </row>
    <row r="23" spans="3:19" s="6" customFormat="1" ht="20.100000000000001" customHeight="1" x14ac:dyDescent="0.25">
      <c r="C23" s="497"/>
      <c r="D23" s="498"/>
      <c r="E23" s="499"/>
      <c r="F23" s="500"/>
      <c r="G23" s="500"/>
      <c r="I23" s="497"/>
      <c r="J23" s="498"/>
      <c r="K23" s="499"/>
      <c r="L23" s="500"/>
      <c r="M23" s="500"/>
      <c r="O23" s="497"/>
      <c r="P23" s="498"/>
      <c r="Q23" s="499"/>
      <c r="R23" s="500"/>
      <c r="S23" s="500"/>
    </row>
    <row r="24" spans="3:19" s="6" customFormat="1" ht="20.100000000000001" customHeight="1" x14ac:dyDescent="0.25">
      <c r="C24" s="406" t="s">
        <v>66</v>
      </c>
      <c r="D24" s="407" t="s">
        <v>67</v>
      </c>
      <c r="E24" s="473" t="s">
        <v>110</v>
      </c>
      <c r="F24" s="501"/>
      <c r="G24" s="501"/>
      <c r="I24" s="404" t="s">
        <v>66</v>
      </c>
      <c r="J24" s="405" t="s">
        <v>67</v>
      </c>
      <c r="K24" s="472" t="s">
        <v>110</v>
      </c>
      <c r="L24" s="500"/>
      <c r="M24" s="500"/>
      <c r="O24" s="406" t="s">
        <v>66</v>
      </c>
      <c r="P24" s="407" t="s">
        <v>67</v>
      </c>
      <c r="Q24" s="473" t="s">
        <v>110</v>
      </c>
      <c r="R24" s="501"/>
      <c r="S24" s="501"/>
    </row>
    <row r="25" spans="3:19" s="6" customFormat="1" ht="20.100000000000001" customHeight="1" thickBot="1" x14ac:dyDescent="0.3">
      <c r="C25" s="408"/>
      <c r="D25" s="409"/>
      <c r="E25" s="410" t="s">
        <v>111</v>
      </c>
      <c r="F25" s="502"/>
      <c r="G25" s="502"/>
      <c r="I25" s="408"/>
      <c r="J25" s="409"/>
      <c r="K25" s="410" t="s">
        <v>111</v>
      </c>
      <c r="L25" s="502"/>
      <c r="M25" s="502"/>
      <c r="O25" s="408"/>
      <c r="P25" s="409"/>
      <c r="Q25" s="410" t="s">
        <v>111</v>
      </c>
      <c r="R25" s="502"/>
      <c r="S25" s="502"/>
    </row>
    <row r="26" spans="3:19" s="6" customFormat="1" ht="20.100000000000001" customHeight="1" thickTop="1" x14ac:dyDescent="0.2">
      <c r="C26" s="393" t="s">
        <v>112</v>
      </c>
      <c r="D26" s="474"/>
      <c r="E26" s="475"/>
      <c r="F26" s="476"/>
      <c r="G26" s="476"/>
      <c r="I26" s="393" t="s">
        <v>114</v>
      </c>
      <c r="J26" s="474"/>
      <c r="L26" s="476"/>
      <c r="M26" s="476"/>
      <c r="O26" s="393" t="s">
        <v>114</v>
      </c>
      <c r="P26" s="474"/>
      <c r="Q26" s="475"/>
      <c r="R26" s="476"/>
      <c r="S26" s="476"/>
    </row>
    <row r="27" spans="3:19" s="6" customFormat="1" ht="20.100000000000001" customHeight="1" x14ac:dyDescent="0.25">
      <c r="C27" s="477"/>
      <c r="D27" s="478"/>
      <c r="E27" s="479" t="str">
        <f>IF(G27="","",VLOOKUP(G27,KTOPL,2,0))</f>
        <v/>
      </c>
      <c r="F27" s="480" t="s">
        <v>105</v>
      </c>
      <c r="G27" s="504"/>
      <c r="I27" s="485"/>
      <c r="J27" s="486"/>
      <c r="K27" s="487" t="str">
        <f>IF(M27="","",VLOOKUP(M27,KTOPL,2,0))</f>
        <v/>
      </c>
      <c r="L27" s="488" t="s">
        <v>105</v>
      </c>
      <c r="M27" s="503"/>
      <c r="O27" s="485"/>
      <c r="P27" s="486"/>
      <c r="Q27" s="487" t="str">
        <f>IF(S27="","",VLOOKUP(S27,KTOPL,2,0))</f>
        <v/>
      </c>
      <c r="R27" s="488" t="s">
        <v>105</v>
      </c>
      <c r="S27" s="503"/>
    </row>
    <row r="28" spans="3:19" s="6" customFormat="1" ht="20.100000000000001" customHeight="1" x14ac:dyDescent="0.25">
      <c r="C28" s="482" t="s">
        <v>106</v>
      </c>
      <c r="D28" s="483" t="s">
        <v>107</v>
      </c>
      <c r="E28" s="482" t="s">
        <v>11</v>
      </c>
      <c r="F28" s="484" t="s">
        <v>108</v>
      </c>
      <c r="G28" s="484" t="s">
        <v>109</v>
      </c>
      <c r="I28" s="489" t="s">
        <v>106</v>
      </c>
      <c r="J28" s="490" t="s">
        <v>107</v>
      </c>
      <c r="K28" s="489" t="s">
        <v>11</v>
      </c>
      <c r="L28" s="491" t="s">
        <v>108</v>
      </c>
      <c r="M28" s="491" t="s">
        <v>109</v>
      </c>
      <c r="O28" s="489" t="s">
        <v>106</v>
      </c>
      <c r="P28" s="490" t="s">
        <v>107</v>
      </c>
      <c r="Q28" s="489" t="s">
        <v>11</v>
      </c>
      <c r="R28" s="491" t="s">
        <v>108</v>
      </c>
      <c r="S28" s="491" t="s">
        <v>109</v>
      </c>
    </row>
    <row r="29" spans="3:19" s="6" customFormat="1" ht="20.100000000000001" customHeight="1" x14ac:dyDescent="0.25">
      <c r="C29" s="492"/>
      <c r="D29" s="493"/>
      <c r="E29" s="494"/>
      <c r="F29" s="495"/>
      <c r="G29" s="496"/>
      <c r="I29" s="492"/>
      <c r="J29" s="493"/>
      <c r="K29" s="494"/>
      <c r="L29" s="495"/>
      <c r="M29" s="496"/>
      <c r="O29" s="492"/>
      <c r="P29" s="493"/>
      <c r="Q29" s="494"/>
      <c r="R29" s="495"/>
      <c r="S29" s="496"/>
    </row>
    <row r="30" spans="3:19" s="6" customFormat="1" ht="20.100000000000001" customHeight="1" x14ac:dyDescent="0.25">
      <c r="C30" s="497"/>
      <c r="D30" s="498"/>
      <c r="E30" s="499"/>
      <c r="F30" s="500"/>
      <c r="G30" s="500"/>
      <c r="I30" s="497"/>
      <c r="J30" s="498"/>
      <c r="K30" s="499"/>
      <c r="L30" s="500"/>
      <c r="M30" s="500"/>
      <c r="O30" s="497"/>
      <c r="P30" s="498"/>
      <c r="Q30" s="499"/>
      <c r="R30" s="500"/>
      <c r="S30" s="500"/>
    </row>
    <row r="31" spans="3:19" s="6" customFormat="1" ht="20.100000000000001" customHeight="1" x14ac:dyDescent="0.25">
      <c r="C31" s="497"/>
      <c r="D31" s="498"/>
      <c r="E31" s="499"/>
      <c r="F31" s="500"/>
      <c r="G31" s="500"/>
      <c r="I31" s="497"/>
      <c r="J31" s="498"/>
      <c r="K31" s="499"/>
      <c r="L31" s="500"/>
      <c r="M31" s="500"/>
      <c r="O31" s="497"/>
      <c r="P31" s="498"/>
      <c r="Q31" s="499"/>
      <c r="R31" s="500"/>
      <c r="S31" s="500"/>
    </row>
    <row r="32" spans="3:19" s="6" customFormat="1" ht="20.100000000000001" customHeight="1" x14ac:dyDescent="0.25">
      <c r="C32" s="406" t="s">
        <v>66</v>
      </c>
      <c r="D32" s="407" t="s">
        <v>67</v>
      </c>
      <c r="E32" s="473" t="s">
        <v>110</v>
      </c>
      <c r="F32" s="501"/>
      <c r="G32" s="501"/>
      <c r="I32" s="406" t="s">
        <v>66</v>
      </c>
      <c r="J32" s="407" t="s">
        <v>67</v>
      </c>
      <c r="K32" s="473" t="s">
        <v>110</v>
      </c>
      <c r="L32" s="501"/>
      <c r="M32" s="501"/>
      <c r="O32" s="406" t="s">
        <v>66</v>
      </c>
      <c r="P32" s="407" t="s">
        <v>67</v>
      </c>
      <c r="Q32" s="473" t="s">
        <v>110</v>
      </c>
      <c r="R32" s="501"/>
      <c r="S32" s="501"/>
    </row>
    <row r="33" spans="3:19" s="6" customFormat="1" ht="20.100000000000001" customHeight="1" thickBot="1" x14ac:dyDescent="0.3">
      <c r="C33" s="408"/>
      <c r="D33" s="409"/>
      <c r="E33" s="410" t="s">
        <v>111</v>
      </c>
      <c r="F33" s="502"/>
      <c r="G33" s="502"/>
      <c r="I33" s="408"/>
      <c r="J33" s="409"/>
      <c r="K33" s="410" t="s">
        <v>111</v>
      </c>
      <c r="L33" s="502"/>
      <c r="M33" s="502"/>
      <c r="O33" s="408"/>
      <c r="P33" s="409"/>
      <c r="Q33" s="410" t="s">
        <v>111</v>
      </c>
      <c r="R33" s="502"/>
      <c r="S33" s="502"/>
    </row>
    <row r="34" spans="3:19" s="6" customFormat="1" ht="12.75" customHeight="1" thickTop="1" x14ac:dyDescent="0.25">
      <c r="D34" s="474"/>
      <c r="E34" s="475"/>
      <c r="F34" s="476"/>
      <c r="G34" s="476"/>
      <c r="J34" s="474"/>
      <c r="L34" s="476"/>
      <c r="M34" s="476"/>
      <c r="P34" s="474"/>
      <c r="Q34" s="475"/>
      <c r="R34" s="476"/>
      <c r="S34" s="476"/>
    </row>
    <row r="35" spans="3:19" s="6" customFormat="1" ht="12.75" customHeight="1" x14ac:dyDescent="0.25">
      <c r="D35" s="474"/>
      <c r="E35" s="475"/>
      <c r="F35" s="476"/>
      <c r="G35" s="476"/>
      <c r="J35" s="474"/>
      <c r="L35" s="476"/>
      <c r="M35" s="476"/>
      <c r="P35" s="474"/>
      <c r="Q35" s="475"/>
      <c r="R35" s="476"/>
      <c r="S35" s="476"/>
    </row>
    <row r="36" spans="3:19" s="6" customFormat="1" ht="12.75" customHeight="1" x14ac:dyDescent="0.25">
      <c r="D36" s="474"/>
      <c r="E36" s="475"/>
      <c r="F36" s="476"/>
      <c r="G36" s="476"/>
      <c r="J36" s="474"/>
      <c r="L36" s="476"/>
      <c r="M36" s="476"/>
      <c r="P36" s="474"/>
      <c r="Q36" s="475"/>
      <c r="R36" s="476"/>
      <c r="S36" s="476"/>
    </row>
    <row r="37" spans="3:19" s="6" customFormat="1" ht="12.75" customHeight="1" x14ac:dyDescent="0.25">
      <c r="D37" s="474"/>
      <c r="E37" s="475"/>
      <c r="F37" s="476"/>
      <c r="G37" s="476"/>
      <c r="J37" s="474"/>
      <c r="L37" s="476"/>
      <c r="M37" s="476"/>
      <c r="P37" s="474"/>
      <c r="Q37" s="475"/>
      <c r="R37" s="476"/>
      <c r="S37" s="476"/>
    </row>
    <row r="38" spans="3:19" s="6" customFormat="1" ht="12.75" customHeight="1" x14ac:dyDescent="0.25">
      <c r="D38" s="474"/>
      <c r="E38" s="475"/>
      <c r="F38" s="476"/>
      <c r="G38" s="476"/>
      <c r="J38" s="474"/>
      <c r="L38" s="476"/>
      <c r="M38" s="476"/>
      <c r="P38" s="474"/>
      <c r="Q38" s="475"/>
      <c r="R38" s="476"/>
      <c r="S38" s="476"/>
    </row>
    <row r="39" spans="3:19" s="6" customFormat="1" ht="12.75" hidden="1" customHeight="1" x14ac:dyDescent="0.25">
      <c r="D39" s="474"/>
      <c r="E39" s="475"/>
      <c r="F39" s="476"/>
      <c r="G39" s="476"/>
      <c r="J39" s="474"/>
      <c r="L39" s="476"/>
      <c r="M39" s="476"/>
      <c r="P39" s="474"/>
      <c r="Q39" s="475"/>
      <c r="R39" s="476"/>
      <c r="S39" s="476"/>
    </row>
    <row r="40" spans="3:19" s="6" customFormat="1" ht="12.75" hidden="1" customHeight="1" thickBot="1" x14ac:dyDescent="0.3">
      <c r="C40" s="414" t="s">
        <v>115</v>
      </c>
      <c r="D40" s="415"/>
      <c r="E40" s="416"/>
      <c r="F40" s="417"/>
      <c r="G40" s="417"/>
      <c r="H40" s="415"/>
      <c r="I40" s="415"/>
      <c r="J40" s="418"/>
      <c r="K40" s="415"/>
      <c r="L40" s="415"/>
      <c r="M40" s="476"/>
      <c r="P40" s="474"/>
      <c r="Q40" s="475"/>
      <c r="R40" s="476"/>
      <c r="S40" s="476"/>
    </row>
    <row r="41" spans="3:19" s="6" customFormat="1" ht="12.75" hidden="1" customHeight="1" x14ac:dyDescent="0.25">
      <c r="C41" s="37">
        <v>1</v>
      </c>
      <c r="D41" s="38" t="str">
        <f>IF(E41="","",MID(E41,1,FIND(": ",E41,1)-1)&amp;L41)</f>
        <v/>
      </c>
      <c r="E41" s="38" t="str">
        <f>IF(OR($G$3="",AND(F5="",G5="")),"",CONCATENATE($G$3,": ",IF(E5="","",E5&amp;", "),IF(F5="","xxxx",TEXT(F5,"# ##0,-")),", ",IF(G5="","xxxx",TEXT(G5,"# ##0,-"))))</f>
        <v/>
      </c>
      <c r="F41" s="419"/>
      <c r="G41" s="419"/>
      <c r="H41" s="38"/>
      <c r="I41" s="38"/>
      <c r="J41" s="420"/>
      <c r="K41" s="38"/>
      <c r="L41" s="38" t="str">
        <f>IF(E5="","",MID(E5,1,5))</f>
        <v/>
      </c>
      <c r="M41" s="476"/>
      <c r="P41" s="474"/>
      <c r="Q41" s="475"/>
      <c r="R41" s="476"/>
      <c r="S41" s="476"/>
    </row>
    <row r="42" spans="3:19" s="6" customFormat="1" ht="12.75" hidden="1" customHeight="1" x14ac:dyDescent="0.25">
      <c r="C42" s="42">
        <v>2</v>
      </c>
      <c r="D42" s="38" t="str">
        <f t="shared" ref="D42:D103" si="0">IF(E42="","",MID(E42,1,FIND(": ",E42,1)-1)&amp;L42)</f>
        <v/>
      </c>
      <c r="E42" s="38" t="str">
        <f t="shared" ref="E42:E45" si="1">IF(OR($G$3="",AND(F6="",G6="")),"",CONCATENATE($G$3,": ",IF(E6="","",E6&amp;", "),IF(F6="","xxxx",TEXT(F6,"# ##0,-")),", ",IF(G6="","xxxx",TEXT(G6,"# ##0,-"))))</f>
        <v/>
      </c>
      <c r="F42" s="421"/>
      <c r="G42" s="421"/>
      <c r="H42" s="43"/>
      <c r="I42" s="43"/>
      <c r="J42" s="422"/>
      <c r="K42" s="43"/>
      <c r="L42" s="38" t="str">
        <f t="shared" ref="L42:L45" si="2">IF(E6="","",MID(E6,1,5))</f>
        <v/>
      </c>
      <c r="M42" s="476"/>
      <c r="P42" s="474"/>
      <c r="Q42" s="475"/>
      <c r="R42" s="476"/>
      <c r="S42" s="476"/>
    </row>
    <row r="43" spans="3:19" s="6" customFormat="1" ht="12.75" hidden="1" customHeight="1" x14ac:dyDescent="0.25">
      <c r="C43" s="42">
        <v>3</v>
      </c>
      <c r="D43" s="38" t="str">
        <f t="shared" si="0"/>
        <v/>
      </c>
      <c r="E43" s="38" t="str">
        <f t="shared" si="1"/>
        <v/>
      </c>
      <c r="F43" s="421"/>
      <c r="G43" s="421"/>
      <c r="H43" s="43"/>
      <c r="I43" s="43"/>
      <c r="J43" s="422"/>
      <c r="K43" s="43"/>
      <c r="L43" s="38" t="str">
        <f t="shared" si="2"/>
        <v/>
      </c>
      <c r="M43" s="476"/>
      <c r="P43" s="474"/>
      <c r="Q43" s="475"/>
      <c r="R43" s="476"/>
      <c r="S43" s="476"/>
    </row>
    <row r="44" spans="3:19" s="6" customFormat="1" ht="12.75" hidden="1" customHeight="1" x14ac:dyDescent="0.25">
      <c r="C44" s="42">
        <v>4</v>
      </c>
      <c r="D44" s="38" t="str">
        <f t="shared" si="0"/>
        <v/>
      </c>
      <c r="E44" s="38" t="str">
        <f t="shared" si="1"/>
        <v/>
      </c>
      <c r="F44" s="421"/>
      <c r="G44" s="421"/>
      <c r="H44" s="43"/>
      <c r="I44" s="43"/>
      <c r="J44" s="422"/>
      <c r="K44" s="43"/>
      <c r="L44" s="38" t="str">
        <f t="shared" si="2"/>
        <v>SALDO</v>
      </c>
      <c r="M44" s="476"/>
      <c r="P44" s="474"/>
      <c r="Q44" s="475"/>
      <c r="R44" s="476"/>
      <c r="S44" s="476"/>
    </row>
    <row r="45" spans="3:19" s="6" customFormat="1" ht="12.75" hidden="1" customHeight="1" x14ac:dyDescent="0.25">
      <c r="C45" s="42">
        <v>5</v>
      </c>
      <c r="D45" s="38" t="str">
        <f t="shared" si="0"/>
        <v/>
      </c>
      <c r="E45" s="38" t="str">
        <f t="shared" si="1"/>
        <v/>
      </c>
      <c r="F45" s="421"/>
      <c r="G45" s="421"/>
      <c r="H45" s="43"/>
      <c r="I45" s="43"/>
      <c r="J45" s="422"/>
      <c r="K45" s="43"/>
      <c r="L45" s="38" t="str">
        <f t="shared" si="2"/>
        <v>Summe</v>
      </c>
      <c r="M45" s="476"/>
      <c r="P45" s="474"/>
      <c r="Q45" s="475"/>
      <c r="R45" s="476"/>
      <c r="S45" s="476"/>
    </row>
    <row r="46" spans="3:19" s="6" customFormat="1" ht="12.75" hidden="1" customHeight="1" x14ac:dyDescent="0.25">
      <c r="C46" s="42">
        <v>6</v>
      </c>
      <c r="D46" s="38" t="str">
        <f t="shared" si="0"/>
        <v/>
      </c>
      <c r="E46" s="43" t="str">
        <f>IF(OR($M$3="",AND(L5="",M5="")),"",CONCATENATE($M$3,": ",IF(K5="","",K5&amp;", "),IF(L5="","xxxx",TEXT(L5,"# ##0,-")),", ",IF(M5="","xxxx",TEXT(M5,"# ##0,-"))))</f>
        <v/>
      </c>
      <c r="F46" s="421"/>
      <c r="G46" s="421"/>
      <c r="H46" s="43"/>
      <c r="I46" s="43"/>
      <c r="J46" s="422"/>
      <c r="K46" s="43"/>
      <c r="L46" s="38" t="str">
        <f>IF(K5="","",MID(K5,1,5))</f>
        <v/>
      </c>
      <c r="M46" s="476"/>
      <c r="P46" s="474"/>
      <c r="Q46" s="475"/>
      <c r="R46" s="476"/>
      <c r="S46" s="476"/>
    </row>
    <row r="47" spans="3:19" s="6" customFormat="1" ht="12.75" hidden="1" customHeight="1" x14ac:dyDescent="0.25">
      <c r="C47" s="42">
        <v>7</v>
      </c>
      <c r="D47" s="38" t="str">
        <f t="shared" si="0"/>
        <v/>
      </c>
      <c r="E47" s="43" t="str">
        <f t="shared" ref="E47:E50" si="3">IF(OR($M$3="",AND(L6="",M6="")),"",CONCATENATE($M$3,": ",IF(K6="","",K6&amp;", "),IF(L6="","xxxx",TEXT(L6,"# ##0,-")),", ",IF(M6="","xxxx",TEXT(M6,"# ##0,-"))))</f>
        <v/>
      </c>
      <c r="F47" s="421"/>
      <c r="G47" s="421"/>
      <c r="H47" s="43"/>
      <c r="I47" s="43"/>
      <c r="J47" s="422"/>
      <c r="K47" s="43"/>
      <c r="L47" s="38" t="str">
        <f t="shared" ref="L47:L50" si="4">IF(K6="","",MID(K6,1,5))</f>
        <v/>
      </c>
      <c r="M47" s="476"/>
      <c r="P47" s="474"/>
      <c r="Q47" s="475"/>
      <c r="R47" s="476"/>
      <c r="S47" s="476"/>
    </row>
    <row r="48" spans="3:19" s="6" customFormat="1" ht="12.75" hidden="1" customHeight="1" x14ac:dyDescent="0.25">
      <c r="C48" s="42">
        <v>8</v>
      </c>
      <c r="D48" s="38" t="str">
        <f t="shared" si="0"/>
        <v/>
      </c>
      <c r="E48" s="43" t="str">
        <f t="shared" si="3"/>
        <v/>
      </c>
      <c r="F48" s="421"/>
      <c r="G48" s="421"/>
      <c r="H48" s="43"/>
      <c r="I48" s="43"/>
      <c r="J48" s="422"/>
      <c r="K48" s="43"/>
      <c r="L48" s="38" t="str">
        <f t="shared" si="4"/>
        <v/>
      </c>
      <c r="M48" s="476"/>
      <c r="P48" s="474"/>
      <c r="Q48" s="475"/>
      <c r="R48" s="476"/>
      <c r="S48" s="476"/>
    </row>
    <row r="49" spans="3:19" s="6" customFormat="1" ht="12.75" hidden="1" customHeight="1" x14ac:dyDescent="0.25">
      <c r="C49" s="42">
        <v>9</v>
      </c>
      <c r="D49" s="38" t="str">
        <f t="shared" si="0"/>
        <v/>
      </c>
      <c r="E49" s="43" t="str">
        <f t="shared" si="3"/>
        <v/>
      </c>
      <c r="F49" s="421"/>
      <c r="G49" s="421"/>
      <c r="H49" s="43"/>
      <c r="I49" s="43"/>
      <c r="J49" s="422"/>
      <c r="K49" s="43"/>
      <c r="L49" s="38" t="str">
        <f t="shared" si="4"/>
        <v>SALDO</v>
      </c>
      <c r="M49" s="476"/>
      <c r="P49" s="474"/>
      <c r="Q49" s="475"/>
      <c r="R49" s="476"/>
      <c r="S49" s="476"/>
    </row>
    <row r="50" spans="3:19" s="6" customFormat="1" ht="12.75" hidden="1" customHeight="1" x14ac:dyDescent="0.25">
      <c r="C50" s="42">
        <v>10</v>
      </c>
      <c r="D50" s="38" t="str">
        <f t="shared" si="0"/>
        <v/>
      </c>
      <c r="E50" s="43" t="str">
        <f t="shared" si="3"/>
        <v/>
      </c>
      <c r="F50" s="421"/>
      <c r="G50" s="421"/>
      <c r="H50" s="43"/>
      <c r="I50" s="43"/>
      <c r="J50" s="422"/>
      <c r="K50" s="43"/>
      <c r="L50" s="38" t="str">
        <f t="shared" si="4"/>
        <v>Summe</v>
      </c>
      <c r="M50" s="476"/>
      <c r="P50" s="474"/>
      <c r="Q50" s="475"/>
      <c r="R50" s="476"/>
      <c r="S50" s="476"/>
    </row>
    <row r="51" spans="3:19" s="6" customFormat="1" ht="12.75" hidden="1" customHeight="1" x14ac:dyDescent="0.25">
      <c r="C51" s="42">
        <v>11</v>
      </c>
      <c r="D51" s="38" t="str">
        <f t="shared" si="0"/>
        <v/>
      </c>
      <c r="E51" s="43" t="str">
        <f>IF(OR($S$3="",AND(R5="",S5="")),"",CONCATENATE($S$3,": ",IF(O5="","",O5&amp;", "),IF(P5="","",P5&amp;", "),IF(Q5="","",Q5&amp;", "),IF(R5="","xxxx",TEXT(R5,"# ##0,-")),", ",IF(S5="","xxxx",TEXT(S5,"# ##0,-"))))</f>
        <v/>
      </c>
      <c r="F51" s="421"/>
      <c r="G51" s="421"/>
      <c r="H51" s="43"/>
      <c r="I51" s="43"/>
      <c r="J51" s="422"/>
      <c r="K51" s="43"/>
      <c r="L51" s="38" t="str">
        <f>IF(Q5="","",MID(Q5,1,5))</f>
        <v/>
      </c>
      <c r="M51" s="476"/>
      <c r="P51" s="474"/>
      <c r="Q51" s="475"/>
      <c r="R51" s="476"/>
      <c r="S51" s="476"/>
    </row>
    <row r="52" spans="3:19" s="6" customFormat="1" ht="12.75" hidden="1" customHeight="1" x14ac:dyDescent="0.25">
      <c r="C52" s="42">
        <v>12</v>
      </c>
      <c r="D52" s="38" t="str">
        <f t="shared" si="0"/>
        <v/>
      </c>
      <c r="E52" s="43" t="str">
        <f t="shared" ref="E52:E55" si="5">IF(OR($S$3="",AND(R6="",S6="")),"",CONCATENATE($S$3,": ",IF(O6="","",O6&amp;", "),IF(P6="","",P6&amp;", "),IF(Q6="","",Q6&amp;", "),IF(R6="","xxxx",TEXT(R6,"# ##0,-")),", ",IF(S6="","xxxx",TEXT(S6,"# ##0,-"))))</f>
        <v/>
      </c>
      <c r="F52" s="421"/>
      <c r="G52" s="421"/>
      <c r="H52" s="43"/>
      <c r="I52" s="43"/>
      <c r="J52" s="422"/>
      <c r="K52" s="43"/>
      <c r="L52" s="38" t="str">
        <f t="shared" ref="L52:L55" si="6">IF(Q6="","",MID(Q6,1,5))</f>
        <v/>
      </c>
      <c r="M52" s="476"/>
      <c r="P52" s="474"/>
      <c r="Q52" s="475"/>
      <c r="R52" s="476"/>
      <c r="S52" s="476"/>
    </row>
    <row r="53" spans="3:19" s="6" customFormat="1" ht="12.75" hidden="1" customHeight="1" x14ac:dyDescent="0.25">
      <c r="C53" s="42">
        <v>13</v>
      </c>
      <c r="D53" s="38" t="str">
        <f t="shared" si="0"/>
        <v/>
      </c>
      <c r="E53" s="43" t="str">
        <f t="shared" si="5"/>
        <v/>
      </c>
      <c r="F53" s="421"/>
      <c r="G53" s="421"/>
      <c r="H53" s="43"/>
      <c r="I53" s="43"/>
      <c r="J53" s="422"/>
      <c r="K53" s="43"/>
      <c r="L53" s="38" t="str">
        <f t="shared" si="6"/>
        <v/>
      </c>
      <c r="M53" s="476"/>
      <c r="P53" s="474"/>
      <c r="Q53" s="475"/>
      <c r="R53" s="476"/>
      <c r="S53" s="476"/>
    </row>
    <row r="54" spans="3:19" s="6" customFormat="1" ht="12.75" hidden="1" customHeight="1" x14ac:dyDescent="0.25">
      <c r="C54" s="42">
        <v>14</v>
      </c>
      <c r="D54" s="38" t="str">
        <f t="shared" si="0"/>
        <v/>
      </c>
      <c r="E54" s="43" t="str">
        <f t="shared" si="5"/>
        <v/>
      </c>
      <c r="F54" s="421"/>
      <c r="G54" s="421"/>
      <c r="H54" s="43"/>
      <c r="I54" s="43"/>
      <c r="J54" s="422"/>
      <c r="K54" s="43"/>
      <c r="L54" s="38" t="str">
        <f t="shared" si="6"/>
        <v>SALDO</v>
      </c>
      <c r="M54" s="476"/>
      <c r="P54" s="474"/>
      <c r="Q54" s="475"/>
      <c r="R54" s="476"/>
      <c r="S54" s="476"/>
    </row>
    <row r="55" spans="3:19" s="6" customFormat="1" ht="12.75" hidden="1" customHeight="1" x14ac:dyDescent="0.25">
      <c r="C55" s="42">
        <v>15</v>
      </c>
      <c r="D55" s="38" t="str">
        <f t="shared" si="0"/>
        <v/>
      </c>
      <c r="E55" s="43" t="str">
        <f t="shared" si="5"/>
        <v/>
      </c>
      <c r="F55" s="421"/>
      <c r="G55" s="421"/>
      <c r="H55" s="43"/>
      <c r="I55" s="43"/>
      <c r="J55" s="422"/>
      <c r="K55" s="43"/>
      <c r="L55" s="38" t="str">
        <f t="shared" si="6"/>
        <v>Summe</v>
      </c>
      <c r="M55" s="476"/>
      <c r="P55" s="474"/>
      <c r="Q55" s="475"/>
      <c r="R55" s="476"/>
      <c r="S55" s="476"/>
    </row>
    <row r="56" spans="3:19" s="6" customFormat="1" ht="12.75" hidden="1" customHeight="1" x14ac:dyDescent="0.25">
      <c r="C56" s="42">
        <v>16</v>
      </c>
      <c r="D56" s="38" t="str">
        <f t="shared" si="0"/>
        <v/>
      </c>
      <c r="E56" s="43" t="str">
        <f>IF(OR($G$11="",AND(F13="",G13="")),"",CONCATENATE($G$11,": ",IF(C13="","",C13&amp;", "),IF(D13="","",D13&amp;", "),IF(E13="","",E13&amp;", "),IF(F13="","xxxx",TEXT(F13,"# ##0,-")),", ",IF(G13="","xxxx",TEXT(G13,"# ##0,-"))))</f>
        <v/>
      </c>
      <c r="F56" s="421"/>
      <c r="G56" s="421"/>
      <c r="H56" s="43"/>
      <c r="I56" s="43"/>
      <c r="J56" s="422"/>
      <c r="K56" s="43"/>
      <c r="L56" s="38" t="str">
        <f>IF(E13="","",MID(E13,1,5))</f>
        <v/>
      </c>
      <c r="M56" s="476"/>
      <c r="P56" s="474"/>
      <c r="Q56" s="475"/>
      <c r="R56" s="476"/>
      <c r="S56" s="476"/>
    </row>
    <row r="57" spans="3:19" s="6" customFormat="1" ht="12.75" hidden="1" customHeight="1" x14ac:dyDescent="0.25">
      <c r="C57" s="42">
        <v>17</v>
      </c>
      <c r="D57" s="38" t="str">
        <f t="shared" si="0"/>
        <v/>
      </c>
      <c r="E57" s="43" t="str">
        <f t="shared" ref="E57:E60" si="7">IF(OR($G$11="",AND(F14="",G14="")),"",CONCATENATE($G$11,": ",IF(C14="","",C14&amp;", "),IF(D14="","",D14&amp;", "),IF(E14="","",E14&amp;", "),IF(F14="","xxxx",TEXT(F14,"# ##0,-")),", ",IF(G14="","xxxx",TEXT(G14,"# ##0,-"))))</f>
        <v/>
      </c>
      <c r="F57" s="421"/>
      <c r="G57" s="421"/>
      <c r="H57" s="43"/>
      <c r="I57" s="43"/>
      <c r="J57" s="422"/>
      <c r="K57" s="43"/>
      <c r="L57" s="38" t="str">
        <f t="shared" ref="L57:L60" si="8">IF(E14="","",MID(E14,1,5))</f>
        <v/>
      </c>
      <c r="M57" s="476"/>
      <c r="P57" s="474"/>
      <c r="Q57" s="475"/>
      <c r="R57" s="476"/>
      <c r="S57" s="476"/>
    </row>
    <row r="58" spans="3:19" s="6" customFormat="1" ht="12.75" hidden="1" customHeight="1" x14ac:dyDescent="0.25">
      <c r="C58" s="42">
        <v>18</v>
      </c>
      <c r="D58" s="38" t="str">
        <f t="shared" si="0"/>
        <v/>
      </c>
      <c r="E58" s="43" t="str">
        <f t="shared" si="7"/>
        <v/>
      </c>
      <c r="F58" s="421"/>
      <c r="G58" s="421"/>
      <c r="H58" s="43"/>
      <c r="I58" s="43"/>
      <c r="J58" s="422"/>
      <c r="K58" s="43"/>
      <c r="L58" s="38" t="str">
        <f t="shared" si="8"/>
        <v/>
      </c>
      <c r="M58" s="476"/>
      <c r="P58" s="474"/>
      <c r="Q58" s="475"/>
      <c r="R58" s="476"/>
      <c r="S58" s="476"/>
    </row>
    <row r="59" spans="3:19" s="6" customFormat="1" ht="12.75" hidden="1" customHeight="1" x14ac:dyDescent="0.25">
      <c r="C59" s="42">
        <v>19</v>
      </c>
      <c r="D59" s="38" t="str">
        <f t="shared" si="0"/>
        <v/>
      </c>
      <c r="E59" s="43" t="str">
        <f t="shared" si="7"/>
        <v/>
      </c>
      <c r="F59" s="421"/>
      <c r="G59" s="421"/>
      <c r="H59" s="43"/>
      <c r="I59" s="43"/>
      <c r="J59" s="422"/>
      <c r="K59" s="43"/>
      <c r="L59" s="38" t="str">
        <f t="shared" si="8"/>
        <v>SALDO</v>
      </c>
      <c r="M59" s="476"/>
      <c r="P59" s="474"/>
      <c r="Q59" s="475"/>
      <c r="R59" s="476"/>
      <c r="S59" s="476"/>
    </row>
    <row r="60" spans="3:19" s="6" customFormat="1" ht="12.75" hidden="1" customHeight="1" x14ac:dyDescent="0.25">
      <c r="C60" s="42">
        <v>20</v>
      </c>
      <c r="D60" s="38" t="str">
        <f t="shared" si="0"/>
        <v/>
      </c>
      <c r="E60" s="43" t="str">
        <f t="shared" si="7"/>
        <v/>
      </c>
      <c r="F60" s="421"/>
      <c r="G60" s="421"/>
      <c r="H60" s="43"/>
      <c r="I60" s="43"/>
      <c r="J60" s="422"/>
      <c r="K60" s="43"/>
      <c r="L60" s="38" t="str">
        <f t="shared" si="8"/>
        <v>Summe</v>
      </c>
      <c r="M60" s="476"/>
      <c r="P60" s="474"/>
      <c r="Q60" s="475"/>
      <c r="R60" s="476"/>
      <c r="S60" s="476"/>
    </row>
    <row r="61" spans="3:19" s="6" customFormat="1" ht="12.75" hidden="1" customHeight="1" x14ac:dyDescent="0.25">
      <c r="C61" s="42">
        <v>21</v>
      </c>
      <c r="D61" s="38" t="str">
        <f t="shared" si="0"/>
        <v/>
      </c>
      <c r="E61" s="43" t="str">
        <f>IF(OR($M$11="",AND(L13="",M13="")),"",CONCATENATE($M$11,": ",IF(I13="","",I13&amp;", "),IF(J13="","",J13&amp;", "),IF(K13="","",K13&amp;", "),IF(L13="","xxxx",TEXT(L13,"# ##0,-")),", ",IF(M13="","xxxx",TEXT(M13,"# ##0,-"))))</f>
        <v/>
      </c>
      <c r="F61" s="421"/>
      <c r="G61" s="421"/>
      <c r="H61" s="43"/>
      <c r="I61" s="43"/>
      <c r="J61" s="422"/>
      <c r="K61" s="43"/>
      <c r="L61" s="38" t="str">
        <f>IF(K13="","",MID(K13,1,5))</f>
        <v/>
      </c>
      <c r="M61" s="476"/>
      <c r="P61" s="474"/>
      <c r="Q61" s="475"/>
      <c r="R61" s="476"/>
      <c r="S61" s="476"/>
    </row>
    <row r="62" spans="3:19" s="6" customFormat="1" ht="12.75" hidden="1" customHeight="1" x14ac:dyDescent="0.25">
      <c r="C62" s="42">
        <v>22</v>
      </c>
      <c r="D62" s="38" t="str">
        <f t="shared" si="0"/>
        <v/>
      </c>
      <c r="E62" s="43" t="str">
        <f t="shared" ref="E62:E73" si="9">IF(OR($M$11="",AND(L14="",M14="")),"",CONCATENATE($M$11,": ",IF(I14="","",I14&amp;", "),IF(J14="","",J14&amp;", "),IF(K14="","",K14&amp;", "),IF(L14="","xxxx",TEXT(L14,"# ##0,-")),", ",IF(M14="","xxxx",TEXT(M14,"# ##0,-"))))</f>
        <v/>
      </c>
      <c r="F62" s="421"/>
      <c r="G62" s="421"/>
      <c r="H62" s="43"/>
      <c r="I62" s="43"/>
      <c r="J62" s="422"/>
      <c r="K62" s="43"/>
      <c r="L62" s="38" t="str">
        <f t="shared" ref="L62:L73" si="10">IF(K14="","",MID(K14,1,5))</f>
        <v/>
      </c>
      <c r="M62" s="476"/>
      <c r="P62" s="474"/>
      <c r="Q62" s="475"/>
      <c r="R62" s="476"/>
      <c r="S62" s="476"/>
    </row>
    <row r="63" spans="3:19" s="6" customFormat="1" ht="12.75" hidden="1" customHeight="1" x14ac:dyDescent="0.25">
      <c r="C63" s="42">
        <v>23</v>
      </c>
      <c r="D63" s="38" t="str">
        <f t="shared" si="0"/>
        <v/>
      </c>
      <c r="E63" s="43" t="str">
        <f t="shared" si="9"/>
        <v/>
      </c>
      <c r="F63" s="421"/>
      <c r="G63" s="421"/>
      <c r="H63" s="43"/>
      <c r="I63" s="43"/>
      <c r="J63" s="422"/>
      <c r="K63" s="43"/>
      <c r="L63" s="38" t="str">
        <f t="shared" si="10"/>
        <v/>
      </c>
      <c r="M63" s="476"/>
      <c r="P63" s="474"/>
      <c r="Q63" s="475"/>
      <c r="R63" s="476"/>
      <c r="S63" s="476"/>
    </row>
    <row r="64" spans="3:19" s="6" customFormat="1" ht="12.75" hidden="1" customHeight="1" x14ac:dyDescent="0.25">
      <c r="C64" s="42">
        <v>24</v>
      </c>
      <c r="D64" s="38" t="str">
        <f t="shared" si="0"/>
        <v/>
      </c>
      <c r="E64" s="43" t="str">
        <f t="shared" si="9"/>
        <v/>
      </c>
      <c r="F64" s="421"/>
      <c r="G64" s="421"/>
      <c r="H64" s="43"/>
      <c r="I64" s="43"/>
      <c r="J64" s="422"/>
      <c r="K64" s="43"/>
      <c r="L64" s="38" t="str">
        <f t="shared" si="10"/>
        <v/>
      </c>
      <c r="M64" s="476"/>
      <c r="P64" s="474"/>
      <c r="Q64" s="475"/>
      <c r="R64" s="476"/>
      <c r="S64" s="476"/>
    </row>
    <row r="65" spans="3:19" s="6" customFormat="1" ht="12.75" hidden="1" customHeight="1" x14ac:dyDescent="0.25">
      <c r="C65" s="42">
        <v>25</v>
      </c>
      <c r="D65" s="38" t="str">
        <f t="shared" si="0"/>
        <v/>
      </c>
      <c r="E65" s="43" t="str">
        <f t="shared" si="9"/>
        <v/>
      </c>
      <c r="F65" s="421"/>
      <c r="G65" s="421"/>
      <c r="H65" s="43"/>
      <c r="I65" s="43"/>
      <c r="J65" s="422"/>
      <c r="K65" s="43"/>
      <c r="L65" s="38" t="str">
        <f t="shared" si="10"/>
        <v/>
      </c>
      <c r="M65" s="476"/>
      <c r="P65" s="474"/>
      <c r="Q65" s="475"/>
      <c r="R65" s="476"/>
      <c r="S65" s="476"/>
    </row>
    <row r="66" spans="3:19" s="6" customFormat="1" ht="12.75" hidden="1" customHeight="1" x14ac:dyDescent="0.25">
      <c r="C66" s="42">
        <v>26</v>
      </c>
      <c r="D66" s="38" t="str">
        <f t="shared" si="0"/>
        <v/>
      </c>
      <c r="E66" s="43" t="str">
        <f t="shared" si="9"/>
        <v/>
      </c>
      <c r="F66" s="421"/>
      <c r="G66" s="421"/>
      <c r="H66" s="43"/>
      <c r="I66" s="43"/>
      <c r="J66" s="422"/>
      <c r="K66" s="43"/>
      <c r="L66" s="38" t="str">
        <f t="shared" si="10"/>
        <v/>
      </c>
      <c r="M66" s="476"/>
      <c r="P66" s="474"/>
      <c r="Q66" s="475"/>
      <c r="R66" s="476"/>
      <c r="S66" s="476"/>
    </row>
    <row r="67" spans="3:19" s="6" customFormat="1" ht="12.75" hidden="1" customHeight="1" x14ac:dyDescent="0.25">
      <c r="C67" s="42">
        <v>27</v>
      </c>
      <c r="D67" s="38" t="str">
        <f t="shared" si="0"/>
        <v/>
      </c>
      <c r="E67" s="43" t="str">
        <f t="shared" si="9"/>
        <v/>
      </c>
      <c r="F67" s="421"/>
      <c r="G67" s="421"/>
      <c r="H67" s="43"/>
      <c r="I67" s="43"/>
      <c r="J67" s="422"/>
      <c r="K67" s="43"/>
      <c r="L67" s="38" t="str">
        <f t="shared" si="10"/>
        <v/>
      </c>
      <c r="M67" s="476"/>
      <c r="P67" s="474"/>
      <c r="Q67" s="475"/>
      <c r="R67" s="476"/>
      <c r="S67" s="476"/>
    </row>
    <row r="68" spans="3:19" s="6" customFormat="1" ht="12.75" hidden="1" customHeight="1" x14ac:dyDescent="0.25">
      <c r="C68" s="42">
        <v>28</v>
      </c>
      <c r="D68" s="38" t="str">
        <f t="shared" si="0"/>
        <v/>
      </c>
      <c r="E68" s="43" t="str">
        <f t="shared" si="9"/>
        <v/>
      </c>
      <c r="F68" s="421"/>
      <c r="G68" s="421"/>
      <c r="H68" s="43"/>
      <c r="I68" s="43"/>
      <c r="J68" s="422"/>
      <c r="K68" s="43"/>
      <c r="L68" s="38" t="str">
        <f t="shared" si="10"/>
        <v/>
      </c>
      <c r="M68" s="476"/>
      <c r="P68" s="474"/>
      <c r="Q68" s="475"/>
      <c r="R68" s="476"/>
      <c r="S68" s="476"/>
    </row>
    <row r="69" spans="3:19" s="6" customFormat="1" ht="12.75" hidden="1" customHeight="1" x14ac:dyDescent="0.25">
      <c r="C69" s="42">
        <v>29</v>
      </c>
      <c r="D69" s="38" t="str">
        <f t="shared" si="0"/>
        <v/>
      </c>
      <c r="E69" s="43" t="str">
        <f t="shared" si="9"/>
        <v/>
      </c>
      <c r="F69" s="421"/>
      <c r="G69" s="421"/>
      <c r="H69" s="43"/>
      <c r="I69" s="43"/>
      <c r="J69" s="422"/>
      <c r="K69" s="43"/>
      <c r="L69" s="38" t="str">
        <f t="shared" si="10"/>
        <v/>
      </c>
      <c r="M69" s="476"/>
      <c r="P69" s="474"/>
      <c r="Q69" s="475"/>
      <c r="R69" s="476"/>
      <c r="S69" s="476"/>
    </row>
    <row r="70" spans="3:19" s="6" customFormat="1" ht="12.75" hidden="1" customHeight="1" x14ac:dyDescent="0.25">
      <c r="C70" s="42">
        <v>30</v>
      </c>
      <c r="D70" s="38" t="str">
        <f t="shared" si="0"/>
        <v/>
      </c>
      <c r="E70" s="43" t="str">
        <f t="shared" si="9"/>
        <v/>
      </c>
      <c r="F70" s="421"/>
      <c r="G70" s="421"/>
      <c r="H70" s="43"/>
      <c r="I70" s="43"/>
      <c r="J70" s="422"/>
      <c r="K70" s="43"/>
      <c r="L70" s="38" t="str">
        <f t="shared" si="10"/>
        <v/>
      </c>
      <c r="M70" s="476"/>
      <c r="P70" s="474"/>
      <c r="Q70" s="475"/>
      <c r="R70" s="476"/>
      <c r="S70" s="476"/>
    </row>
    <row r="71" spans="3:19" s="6" customFormat="1" ht="12.75" hidden="1" customHeight="1" x14ac:dyDescent="0.25">
      <c r="C71" s="42">
        <v>31</v>
      </c>
      <c r="D71" s="38" t="str">
        <f t="shared" si="0"/>
        <v/>
      </c>
      <c r="E71" s="43" t="str">
        <f t="shared" si="9"/>
        <v/>
      </c>
      <c r="F71" s="421"/>
      <c r="G71" s="421"/>
      <c r="H71" s="43"/>
      <c r="I71" s="43"/>
      <c r="J71" s="422"/>
      <c r="K71" s="43"/>
      <c r="L71" s="38" t="str">
        <f t="shared" si="10"/>
        <v/>
      </c>
      <c r="M71" s="476"/>
      <c r="P71" s="474"/>
      <c r="Q71" s="475"/>
      <c r="R71" s="476"/>
      <c r="S71" s="476"/>
    </row>
    <row r="72" spans="3:19" s="6" customFormat="1" ht="12.75" hidden="1" customHeight="1" x14ac:dyDescent="0.25">
      <c r="C72" s="42">
        <v>32</v>
      </c>
      <c r="D72" s="38" t="str">
        <f t="shared" si="0"/>
        <v/>
      </c>
      <c r="E72" s="43" t="str">
        <f t="shared" si="9"/>
        <v/>
      </c>
      <c r="F72" s="421"/>
      <c r="G72" s="421"/>
      <c r="H72" s="43"/>
      <c r="I72" s="43"/>
      <c r="J72" s="422"/>
      <c r="K72" s="43"/>
      <c r="L72" s="38" t="str">
        <f t="shared" si="10"/>
        <v>SALDO</v>
      </c>
      <c r="M72" s="476"/>
      <c r="P72" s="474"/>
      <c r="Q72" s="475"/>
      <c r="R72" s="476"/>
      <c r="S72" s="476"/>
    </row>
    <row r="73" spans="3:19" s="6" customFormat="1" ht="12.75" hidden="1" customHeight="1" x14ac:dyDescent="0.25">
      <c r="C73" s="42">
        <v>33</v>
      </c>
      <c r="D73" s="38" t="str">
        <f t="shared" si="0"/>
        <v/>
      </c>
      <c r="E73" s="43" t="str">
        <f t="shared" si="9"/>
        <v/>
      </c>
      <c r="F73" s="421"/>
      <c r="G73" s="421"/>
      <c r="H73" s="43"/>
      <c r="I73" s="43"/>
      <c r="J73" s="422"/>
      <c r="K73" s="43"/>
      <c r="L73" s="38" t="str">
        <f t="shared" si="10"/>
        <v>Summe</v>
      </c>
      <c r="M73" s="476"/>
      <c r="P73" s="474"/>
      <c r="Q73" s="475"/>
      <c r="R73" s="476"/>
      <c r="S73" s="476"/>
    </row>
    <row r="74" spans="3:19" s="6" customFormat="1" ht="12.75" hidden="1" customHeight="1" x14ac:dyDescent="0.25">
      <c r="C74" s="42">
        <v>34</v>
      </c>
      <c r="D74" s="38" t="str">
        <f t="shared" si="0"/>
        <v/>
      </c>
      <c r="E74" s="43" t="str">
        <f>IF(OR($S$11="",AND(R13="",S13="")),"",CONCATENATE($S$11,": ",IF(O13="","",O13&amp;", "),IF(P13="","",P13&amp;", "),IF(Q13="","",Q13&amp;", "),IF(R13="","xxxx",TEXT(R13,"# ##0,-")),", ",IF(S13="","xxxx",TEXT(S13,"# ##0,-"))))</f>
        <v/>
      </c>
      <c r="F74" s="421"/>
      <c r="G74" s="421"/>
      <c r="H74" s="43"/>
      <c r="I74" s="43"/>
      <c r="J74" s="422"/>
      <c r="K74" s="43"/>
      <c r="L74" s="38" t="str">
        <f>IF(Q13="","",MID(Q13,1,5))</f>
        <v/>
      </c>
      <c r="M74" s="476"/>
      <c r="P74" s="474"/>
      <c r="Q74" s="475"/>
      <c r="R74" s="476"/>
      <c r="S74" s="476"/>
    </row>
    <row r="75" spans="3:19" s="6" customFormat="1" ht="12.75" hidden="1" customHeight="1" x14ac:dyDescent="0.25">
      <c r="C75" s="42">
        <v>35</v>
      </c>
      <c r="D75" s="38" t="str">
        <f t="shared" si="0"/>
        <v/>
      </c>
      <c r="E75" s="43" t="str">
        <f t="shared" ref="E75:E78" si="11">IF(OR($S$11="",AND(R14="",S14="")),"",CONCATENATE($S$11,": ",IF(O14="","",O14&amp;", "),IF(P14="","",P14&amp;", "),IF(Q14="","",Q14&amp;", "),IF(R14="","xxxx",TEXT(R14,"# ##0,-")),", ",IF(S14="","xxxx",TEXT(S14,"# ##0,-"))))</f>
        <v/>
      </c>
      <c r="F75" s="421"/>
      <c r="G75" s="421"/>
      <c r="H75" s="43"/>
      <c r="I75" s="43"/>
      <c r="J75" s="422"/>
      <c r="K75" s="43"/>
      <c r="L75" s="38" t="str">
        <f t="shared" ref="L75:L78" si="12">IF(Q14="","",MID(Q14,1,5))</f>
        <v/>
      </c>
      <c r="M75" s="476"/>
      <c r="P75" s="474"/>
      <c r="Q75" s="475"/>
      <c r="R75" s="476"/>
      <c r="S75" s="476"/>
    </row>
    <row r="76" spans="3:19" s="6" customFormat="1" ht="12.75" hidden="1" customHeight="1" x14ac:dyDescent="0.25">
      <c r="C76" s="42">
        <v>36</v>
      </c>
      <c r="D76" s="38" t="str">
        <f t="shared" si="0"/>
        <v/>
      </c>
      <c r="E76" s="43" t="str">
        <f t="shared" si="11"/>
        <v/>
      </c>
      <c r="F76" s="421"/>
      <c r="G76" s="421"/>
      <c r="H76" s="43"/>
      <c r="I76" s="43"/>
      <c r="J76" s="422"/>
      <c r="K76" s="43"/>
      <c r="L76" s="38" t="str">
        <f t="shared" si="12"/>
        <v/>
      </c>
      <c r="M76" s="476"/>
      <c r="P76" s="474"/>
      <c r="Q76" s="475"/>
      <c r="R76" s="476"/>
      <c r="S76" s="476"/>
    </row>
    <row r="77" spans="3:19" s="6" customFormat="1" ht="12.75" hidden="1" customHeight="1" x14ac:dyDescent="0.25">
      <c r="C77" s="42">
        <v>37</v>
      </c>
      <c r="D77" s="38" t="str">
        <f t="shared" si="0"/>
        <v/>
      </c>
      <c r="E77" s="43" t="str">
        <f t="shared" si="11"/>
        <v/>
      </c>
      <c r="F77" s="421"/>
      <c r="G77" s="421"/>
      <c r="H77" s="43"/>
      <c r="I77" s="43"/>
      <c r="J77" s="422"/>
      <c r="K77" s="43"/>
      <c r="L77" s="38" t="str">
        <f t="shared" si="12"/>
        <v>SALDO</v>
      </c>
      <c r="M77" s="476"/>
      <c r="P77" s="474"/>
      <c r="Q77" s="475"/>
      <c r="R77" s="476"/>
      <c r="S77" s="476"/>
    </row>
    <row r="78" spans="3:19" s="6" customFormat="1" ht="12.75" hidden="1" customHeight="1" x14ac:dyDescent="0.25">
      <c r="C78" s="42">
        <v>38</v>
      </c>
      <c r="D78" s="38" t="str">
        <f t="shared" si="0"/>
        <v/>
      </c>
      <c r="E78" s="43" t="str">
        <f t="shared" si="11"/>
        <v/>
      </c>
      <c r="F78" s="421"/>
      <c r="G78" s="421"/>
      <c r="H78" s="43"/>
      <c r="I78" s="43"/>
      <c r="J78" s="422"/>
      <c r="K78" s="43"/>
      <c r="L78" s="38" t="str">
        <f t="shared" si="12"/>
        <v>Summe</v>
      </c>
      <c r="M78" s="476"/>
      <c r="P78" s="474"/>
      <c r="Q78" s="475"/>
      <c r="R78" s="476"/>
      <c r="S78" s="476"/>
    </row>
    <row r="79" spans="3:19" s="6" customFormat="1" ht="12.75" hidden="1" customHeight="1" x14ac:dyDescent="0.25">
      <c r="C79" s="42">
        <v>39</v>
      </c>
      <c r="D79" s="38" t="str">
        <f t="shared" si="0"/>
        <v/>
      </c>
      <c r="E79" s="43" t="str">
        <f>IF(OR($G$19="",AND(F21="",G21="")),"",CONCATENATE($G$19,": ",IF(C21="","",C21&amp;", "),IF(D21="","",D21&amp;", "),IF(E21="","",E21&amp;", "),IF(F21="","xxxx",TEXT(F21,"# ##0,-")),", ",IF(G21="","xxxx",TEXT(G21,"# ##0,-"))))</f>
        <v/>
      </c>
      <c r="F79" s="421"/>
      <c r="G79" s="421"/>
      <c r="H79" s="43"/>
      <c r="I79" s="43"/>
      <c r="J79" s="422"/>
      <c r="K79" s="43"/>
      <c r="L79" s="38" t="str">
        <f>IF(E21="","",MID(E21,1,5))</f>
        <v/>
      </c>
      <c r="M79" s="476"/>
      <c r="P79" s="474"/>
      <c r="Q79" s="475"/>
      <c r="R79" s="476"/>
      <c r="S79" s="476"/>
    </row>
    <row r="80" spans="3:19" s="6" customFormat="1" ht="12.75" hidden="1" customHeight="1" x14ac:dyDescent="0.25">
      <c r="C80" s="42">
        <v>40</v>
      </c>
      <c r="D80" s="38" t="str">
        <f t="shared" si="0"/>
        <v/>
      </c>
      <c r="E80" s="43" t="str">
        <f t="shared" ref="E80:E83" si="13">IF(OR($G$19="",AND(F22="",G22="")),"",CONCATENATE($G$19,": ",IF(C22="","",C22&amp;", "),IF(D22="","",D22&amp;", "),IF(E22="","",E22&amp;", "),IF(F22="","xxxx",TEXT(F22,"# ##0,-")),", ",IF(G22="","xxxx",TEXT(G22,"# ##0,-"))))</f>
        <v/>
      </c>
      <c r="F80" s="421"/>
      <c r="G80" s="421"/>
      <c r="H80" s="43"/>
      <c r="I80" s="43"/>
      <c r="J80" s="422"/>
      <c r="K80" s="43"/>
      <c r="L80" s="38" t="str">
        <f t="shared" ref="L80:L83" si="14">IF(E22="","",MID(E22,1,5))</f>
        <v/>
      </c>
      <c r="M80" s="476"/>
      <c r="P80" s="474"/>
      <c r="Q80" s="475"/>
      <c r="R80" s="476"/>
      <c r="S80" s="476"/>
    </row>
    <row r="81" spans="3:19" s="6" customFormat="1" ht="12.75" hidden="1" customHeight="1" x14ac:dyDescent="0.25">
      <c r="C81" s="42">
        <v>41</v>
      </c>
      <c r="D81" s="38" t="str">
        <f t="shared" si="0"/>
        <v/>
      </c>
      <c r="E81" s="43" t="str">
        <f t="shared" si="13"/>
        <v/>
      </c>
      <c r="F81" s="421"/>
      <c r="G81" s="421"/>
      <c r="H81" s="43"/>
      <c r="I81" s="43"/>
      <c r="J81" s="422"/>
      <c r="K81" s="43"/>
      <c r="L81" s="38" t="str">
        <f t="shared" si="14"/>
        <v/>
      </c>
      <c r="M81" s="476"/>
      <c r="P81" s="474"/>
      <c r="Q81" s="475"/>
      <c r="R81" s="476"/>
      <c r="S81" s="476"/>
    </row>
    <row r="82" spans="3:19" s="6" customFormat="1" ht="12.75" hidden="1" customHeight="1" x14ac:dyDescent="0.25">
      <c r="C82" s="42">
        <v>42</v>
      </c>
      <c r="D82" s="38" t="str">
        <f t="shared" si="0"/>
        <v/>
      </c>
      <c r="E82" s="43" t="str">
        <f>IF(OR($G$19="",AND(F24="",G24="")),"",CONCATENATE($G$19,": ",IF(C24="","",C24&amp;", "),IF(D24="","",D24&amp;", "),IF(E24="","",E24&amp;", "),IF(F24="","xxxx",TEXT(F24,"# ##0,-")),", ",IF(G24="","xxxx",TEXT(G24,"# ##0,-"))))</f>
        <v/>
      </c>
      <c r="F82" s="421"/>
      <c r="G82" s="421"/>
      <c r="H82" s="43"/>
      <c r="I82" s="43"/>
      <c r="J82" s="422"/>
      <c r="K82" s="43"/>
      <c r="L82" s="38" t="str">
        <f t="shared" si="14"/>
        <v>SALDO</v>
      </c>
      <c r="M82" s="476"/>
      <c r="P82" s="474"/>
      <c r="Q82" s="475"/>
      <c r="R82" s="476"/>
      <c r="S82" s="476"/>
    </row>
    <row r="83" spans="3:19" s="6" customFormat="1" ht="12.75" hidden="1" customHeight="1" x14ac:dyDescent="0.25">
      <c r="C83" s="42">
        <v>43</v>
      </c>
      <c r="D83" s="38" t="str">
        <f t="shared" si="0"/>
        <v/>
      </c>
      <c r="E83" s="43" t="str">
        <f t="shared" si="13"/>
        <v/>
      </c>
      <c r="F83" s="421"/>
      <c r="G83" s="421"/>
      <c r="H83" s="43"/>
      <c r="I83" s="43"/>
      <c r="J83" s="422"/>
      <c r="K83" s="43"/>
      <c r="L83" s="38" t="str">
        <f t="shared" si="14"/>
        <v>Summe</v>
      </c>
      <c r="M83" s="476"/>
      <c r="P83" s="474"/>
      <c r="Q83" s="475"/>
      <c r="R83" s="476"/>
      <c r="S83" s="476"/>
    </row>
    <row r="84" spans="3:19" s="6" customFormat="1" ht="12.75" hidden="1" customHeight="1" x14ac:dyDescent="0.25">
      <c r="C84" s="42">
        <v>44</v>
      </c>
      <c r="D84" s="38" t="str">
        <f t="shared" si="0"/>
        <v/>
      </c>
      <c r="E84" s="43" t="str">
        <f>IF(OR($S$19="",AND(R21="",S21="")),"",CONCATENATE($S$19,": ",IF(O21="","",O21&amp;", "),IF(P21="","",P21&amp;", "),IF(Q21="","",Q21&amp;", "),IF(R21="","xxxx",TEXT(R21,"# ##0,-")),", ",IF(S21="","xxxx",TEXT(S21,"# ##0,-"))))</f>
        <v/>
      </c>
      <c r="F84" s="421"/>
      <c r="G84" s="421"/>
      <c r="H84" s="43"/>
      <c r="I84" s="43"/>
      <c r="J84" s="422"/>
      <c r="K84" s="43"/>
      <c r="L84" s="38" t="str">
        <f>IF(Q21="","",MID(Q21,1,5))</f>
        <v/>
      </c>
      <c r="M84" s="476"/>
      <c r="P84" s="474"/>
      <c r="Q84" s="475"/>
      <c r="R84" s="476"/>
      <c r="S84" s="476"/>
    </row>
    <row r="85" spans="3:19" s="6" customFormat="1" ht="12.75" hidden="1" customHeight="1" x14ac:dyDescent="0.25">
      <c r="C85" s="42">
        <v>45</v>
      </c>
      <c r="D85" s="38" t="str">
        <f t="shared" si="0"/>
        <v/>
      </c>
      <c r="E85" s="43" t="str">
        <f t="shared" ref="E85:E88" si="15">IF(OR($S$19="",AND(R22="",S22="")),"",CONCATENATE($S$19,": ",IF(O22="","",O22&amp;", "),IF(P22="","",P22&amp;", "),IF(Q22="","",Q22&amp;", "),IF(R22="","xxxx",TEXT(R22,"# ##0,-")),", ",IF(S22="","xxxx",TEXT(S22,"# ##0,-"))))</f>
        <v/>
      </c>
      <c r="F85" s="421"/>
      <c r="G85" s="421"/>
      <c r="H85" s="43"/>
      <c r="I85" s="43"/>
      <c r="J85" s="422"/>
      <c r="K85" s="43"/>
      <c r="L85" s="38" t="str">
        <f t="shared" ref="L85:L88" si="16">IF(Q22="","",MID(Q22,1,5))</f>
        <v/>
      </c>
      <c r="M85" s="476"/>
      <c r="P85" s="474"/>
      <c r="Q85" s="475"/>
      <c r="R85" s="476"/>
      <c r="S85" s="476"/>
    </row>
    <row r="86" spans="3:19" s="6" customFormat="1" ht="12.75" hidden="1" customHeight="1" x14ac:dyDescent="0.25">
      <c r="C86" s="42">
        <v>46</v>
      </c>
      <c r="D86" s="38" t="str">
        <f t="shared" si="0"/>
        <v/>
      </c>
      <c r="E86" s="43" t="str">
        <f t="shared" si="15"/>
        <v/>
      </c>
      <c r="F86" s="421"/>
      <c r="G86" s="421"/>
      <c r="H86" s="43"/>
      <c r="I86" s="43"/>
      <c r="J86" s="422"/>
      <c r="K86" s="43"/>
      <c r="L86" s="38" t="str">
        <f t="shared" si="16"/>
        <v/>
      </c>
      <c r="M86" s="476"/>
      <c r="P86" s="474"/>
      <c r="Q86" s="475"/>
      <c r="R86" s="476"/>
      <c r="S86" s="476"/>
    </row>
    <row r="87" spans="3:19" s="6" customFormat="1" ht="12.75" hidden="1" customHeight="1" x14ac:dyDescent="0.25">
      <c r="C87" s="42">
        <v>47</v>
      </c>
      <c r="D87" s="38" t="str">
        <f t="shared" si="0"/>
        <v/>
      </c>
      <c r="E87" s="43" t="str">
        <f t="shared" si="15"/>
        <v/>
      </c>
      <c r="F87" s="421"/>
      <c r="G87" s="421"/>
      <c r="H87" s="43"/>
      <c r="I87" s="43"/>
      <c r="J87" s="422"/>
      <c r="K87" s="43"/>
      <c r="L87" s="38" t="str">
        <f t="shared" si="16"/>
        <v>SALDO</v>
      </c>
      <c r="M87" s="476"/>
      <c r="P87" s="474"/>
      <c r="Q87" s="475"/>
      <c r="R87" s="476"/>
      <c r="S87" s="476"/>
    </row>
    <row r="88" spans="3:19" s="6" customFormat="1" ht="12.75" hidden="1" customHeight="1" x14ac:dyDescent="0.25">
      <c r="C88" s="42">
        <v>48</v>
      </c>
      <c r="D88" s="38" t="str">
        <f t="shared" si="0"/>
        <v/>
      </c>
      <c r="E88" s="43" t="str">
        <f t="shared" si="15"/>
        <v/>
      </c>
      <c r="F88" s="421"/>
      <c r="G88" s="421"/>
      <c r="H88" s="43"/>
      <c r="I88" s="43"/>
      <c r="J88" s="422"/>
      <c r="K88" s="43"/>
      <c r="L88" s="38" t="str">
        <f t="shared" si="16"/>
        <v>Summe</v>
      </c>
      <c r="M88" s="476"/>
      <c r="P88" s="474"/>
      <c r="Q88" s="475"/>
      <c r="R88" s="476"/>
      <c r="S88" s="476"/>
    </row>
    <row r="89" spans="3:19" s="6" customFormat="1" ht="12.75" hidden="1" customHeight="1" x14ac:dyDescent="0.25">
      <c r="C89" s="42">
        <v>49</v>
      </c>
      <c r="D89" s="38" t="str">
        <f t="shared" si="0"/>
        <v/>
      </c>
      <c r="E89" s="43" t="str">
        <f>IF(OR($G$27="",AND(F29="",G29="")),"",CONCATENATE($G$27,": ",IF(C29="","",C29&amp;", "),IF(D29="","",D29&amp;", "),IF(E29="","",E29&amp;", "),IF(F29="","xxxx",TEXT(F29,"# ##0,-")),", ",IF(G29="","xxxx",TEXT(G29,"# ##0,-"))))</f>
        <v/>
      </c>
      <c r="F89" s="421"/>
      <c r="G89" s="421"/>
      <c r="H89" s="43"/>
      <c r="I89" s="43"/>
      <c r="J89" s="422"/>
      <c r="K89" s="43"/>
      <c r="L89" s="38" t="str">
        <f>IF(E29="","",MID(E29,1,5))</f>
        <v/>
      </c>
      <c r="M89" s="476"/>
      <c r="P89" s="474"/>
      <c r="Q89" s="475"/>
      <c r="R89" s="476"/>
      <c r="S89" s="476"/>
    </row>
    <row r="90" spans="3:19" s="6" customFormat="1" ht="12.75" hidden="1" customHeight="1" x14ac:dyDescent="0.25">
      <c r="C90" s="42">
        <v>50</v>
      </c>
      <c r="D90" s="38" t="str">
        <f t="shared" si="0"/>
        <v/>
      </c>
      <c r="E90" s="43" t="str">
        <f t="shared" ref="E90:E93" si="17">IF(OR($G$27="",AND(F30="",G30="")),"",CONCATENATE($G$27,": ",IF(C30="","",C30&amp;", "),IF(D30="","",D30&amp;", "),IF(E30="","",E30&amp;", "),IF(F30="","xxxx",TEXT(F30,"# ##0,-")),", ",IF(G30="","xxxx",TEXT(G30,"# ##0,-"))))</f>
        <v/>
      </c>
      <c r="F90" s="421"/>
      <c r="G90" s="421"/>
      <c r="H90" s="43"/>
      <c r="I90" s="43"/>
      <c r="J90" s="422"/>
      <c r="K90" s="43"/>
      <c r="L90" s="38" t="str">
        <f t="shared" ref="L90:L93" si="18">IF(E30="","",MID(E30,1,5))</f>
        <v/>
      </c>
      <c r="M90" s="476"/>
      <c r="P90" s="474"/>
      <c r="Q90" s="475"/>
      <c r="R90" s="476"/>
      <c r="S90" s="476"/>
    </row>
    <row r="91" spans="3:19" s="6" customFormat="1" ht="12.75" hidden="1" customHeight="1" x14ac:dyDescent="0.25">
      <c r="C91" s="42">
        <v>51</v>
      </c>
      <c r="D91" s="38" t="str">
        <f t="shared" si="0"/>
        <v/>
      </c>
      <c r="E91" s="43" t="str">
        <f t="shared" si="17"/>
        <v/>
      </c>
      <c r="F91" s="421"/>
      <c r="G91" s="421"/>
      <c r="H91" s="43"/>
      <c r="I91" s="43"/>
      <c r="J91" s="422"/>
      <c r="K91" s="43"/>
      <c r="L91" s="38" t="str">
        <f t="shared" si="18"/>
        <v/>
      </c>
      <c r="M91" s="476"/>
      <c r="P91" s="474"/>
      <c r="Q91" s="475"/>
      <c r="R91" s="476"/>
      <c r="S91" s="476"/>
    </row>
    <row r="92" spans="3:19" s="6" customFormat="1" ht="12.75" hidden="1" customHeight="1" x14ac:dyDescent="0.25">
      <c r="C92" s="42">
        <v>52</v>
      </c>
      <c r="D92" s="38" t="str">
        <f t="shared" si="0"/>
        <v/>
      </c>
      <c r="E92" s="43" t="str">
        <f t="shared" si="17"/>
        <v/>
      </c>
      <c r="F92" s="421"/>
      <c r="G92" s="421"/>
      <c r="H92" s="43"/>
      <c r="I92" s="43"/>
      <c r="J92" s="422"/>
      <c r="K92" s="43"/>
      <c r="L92" s="38" t="str">
        <f t="shared" si="18"/>
        <v>SALDO</v>
      </c>
      <c r="M92" s="476"/>
      <c r="P92" s="474"/>
      <c r="Q92" s="475"/>
      <c r="R92" s="476"/>
      <c r="S92" s="476"/>
    </row>
    <row r="93" spans="3:19" s="6" customFormat="1" ht="12.75" hidden="1" customHeight="1" x14ac:dyDescent="0.25">
      <c r="C93" s="42">
        <v>53</v>
      </c>
      <c r="D93" s="38" t="str">
        <f t="shared" si="0"/>
        <v/>
      </c>
      <c r="E93" s="43" t="str">
        <f t="shared" si="17"/>
        <v/>
      </c>
      <c r="F93" s="421"/>
      <c r="G93" s="421"/>
      <c r="H93" s="43"/>
      <c r="I93" s="43"/>
      <c r="J93" s="422"/>
      <c r="K93" s="43"/>
      <c r="L93" s="38" t="str">
        <f t="shared" si="18"/>
        <v>Summe</v>
      </c>
      <c r="M93" s="476"/>
      <c r="P93" s="474"/>
      <c r="Q93" s="475"/>
      <c r="R93" s="476"/>
      <c r="S93" s="476"/>
    </row>
    <row r="94" spans="3:19" s="6" customFormat="1" ht="12.75" hidden="1" customHeight="1" x14ac:dyDescent="0.25">
      <c r="C94" s="42">
        <v>54</v>
      </c>
      <c r="D94" s="38" t="str">
        <f t="shared" si="0"/>
        <v/>
      </c>
      <c r="E94" s="43" t="str">
        <f>IF(OR($M$27="",AND(L29="",M29="")),"",CONCATENATE($M$27,": ",IF(I29="","",I29&amp;", "),IF(J29="","",J29&amp;", "),IF(K29="","",K29&amp;", "),IF(L29="","xxxx",TEXT(L29,"# ##0,-")),", ",IF(M29="","xxxx",TEXT(M29,"# ##0,-"))))</f>
        <v/>
      </c>
      <c r="F94" s="421"/>
      <c r="G94" s="421"/>
      <c r="H94" s="43"/>
      <c r="I94" s="43"/>
      <c r="J94" s="422"/>
      <c r="K94" s="43"/>
      <c r="L94" s="38" t="str">
        <f>IF(K29="","",MID(K29,1,5))</f>
        <v/>
      </c>
      <c r="M94" s="476"/>
      <c r="P94" s="474"/>
      <c r="Q94" s="475"/>
      <c r="R94" s="476"/>
      <c r="S94" s="476"/>
    </row>
    <row r="95" spans="3:19" s="6" customFormat="1" ht="12.75" hidden="1" customHeight="1" x14ac:dyDescent="0.25">
      <c r="C95" s="42">
        <v>55</v>
      </c>
      <c r="D95" s="38" t="str">
        <f t="shared" si="0"/>
        <v/>
      </c>
      <c r="E95" s="43" t="str">
        <f t="shared" ref="E95:E98" si="19">IF(OR($M$27="",AND(L30="",M30="")),"",CONCATENATE($M$27,": ",IF(I30="","",I30&amp;", "),IF(J30="","",J30&amp;", "),IF(K30="","",K30&amp;", "),IF(L30="","xxxx",TEXT(L30,"# ##0,-")),", ",IF(M30="","xxxx",TEXT(M30,"# ##0,-"))))</f>
        <v/>
      </c>
      <c r="F95" s="421"/>
      <c r="G95" s="421"/>
      <c r="H95" s="43"/>
      <c r="I95" s="43"/>
      <c r="J95" s="422"/>
      <c r="K95" s="43"/>
      <c r="L95" s="38" t="str">
        <f t="shared" ref="L95:L98" si="20">IF(K30="","",MID(K30,1,5))</f>
        <v/>
      </c>
      <c r="M95" s="476"/>
      <c r="P95" s="474"/>
      <c r="Q95" s="475"/>
      <c r="R95" s="476"/>
      <c r="S95" s="476"/>
    </row>
    <row r="96" spans="3:19" s="6" customFormat="1" ht="12.75" hidden="1" customHeight="1" x14ac:dyDescent="0.25">
      <c r="C96" s="42">
        <v>56</v>
      </c>
      <c r="D96" s="38" t="str">
        <f t="shared" si="0"/>
        <v/>
      </c>
      <c r="E96" s="43" t="str">
        <f t="shared" si="19"/>
        <v/>
      </c>
      <c r="F96" s="421"/>
      <c r="G96" s="421"/>
      <c r="H96" s="43"/>
      <c r="I96" s="43"/>
      <c r="J96" s="422"/>
      <c r="K96" s="43"/>
      <c r="L96" s="38" t="str">
        <f t="shared" si="20"/>
        <v/>
      </c>
      <c r="M96" s="476"/>
      <c r="P96" s="474"/>
      <c r="Q96" s="475"/>
      <c r="R96" s="476"/>
      <c r="S96" s="476"/>
    </row>
    <row r="97" spans="3:19" s="6" customFormat="1" ht="12.75" hidden="1" customHeight="1" x14ac:dyDescent="0.25">
      <c r="C97" s="42">
        <v>57</v>
      </c>
      <c r="D97" s="38" t="str">
        <f t="shared" si="0"/>
        <v/>
      </c>
      <c r="E97" s="43" t="str">
        <f t="shared" si="19"/>
        <v/>
      </c>
      <c r="F97" s="421"/>
      <c r="G97" s="421"/>
      <c r="H97" s="43"/>
      <c r="I97" s="43"/>
      <c r="J97" s="422"/>
      <c r="K97" s="43"/>
      <c r="L97" s="38" t="str">
        <f t="shared" si="20"/>
        <v>SALDO</v>
      </c>
      <c r="M97" s="476"/>
      <c r="P97" s="474"/>
      <c r="Q97" s="475"/>
      <c r="R97" s="476"/>
      <c r="S97" s="476"/>
    </row>
    <row r="98" spans="3:19" s="6" customFormat="1" ht="12.75" hidden="1" customHeight="1" x14ac:dyDescent="0.25">
      <c r="C98" s="42">
        <v>58</v>
      </c>
      <c r="D98" s="38" t="str">
        <f t="shared" si="0"/>
        <v/>
      </c>
      <c r="E98" s="43" t="str">
        <f t="shared" si="19"/>
        <v/>
      </c>
      <c r="F98" s="421"/>
      <c r="G98" s="421"/>
      <c r="H98" s="43"/>
      <c r="I98" s="43"/>
      <c r="J98" s="422"/>
      <c r="K98" s="43"/>
      <c r="L98" s="38" t="str">
        <f t="shared" si="20"/>
        <v>Summe</v>
      </c>
      <c r="M98" s="476"/>
      <c r="P98" s="474"/>
      <c r="Q98" s="475"/>
      <c r="R98" s="476"/>
      <c r="S98" s="476"/>
    </row>
    <row r="99" spans="3:19" s="6" customFormat="1" ht="12.75" hidden="1" customHeight="1" x14ac:dyDescent="0.25">
      <c r="C99" s="42">
        <v>59</v>
      </c>
      <c r="D99" s="38" t="str">
        <f t="shared" si="0"/>
        <v/>
      </c>
      <c r="E99" s="43" t="str">
        <f>IF(OR($S$27="",AND(R29="",S29="")),"",CONCATENATE($S$27,": ",IF(O29="","",O29&amp;", "),IF(P29="","",P29&amp;", "),IF(Q29="","",Q29&amp;", "),IF(R29="","xxxx",TEXT(R29,"# ##0,-")),", ",IF(S29="","xxxx",TEXT(S29,"# ##0,-"))))</f>
        <v/>
      </c>
      <c r="F99" s="421"/>
      <c r="G99" s="421"/>
      <c r="H99" s="43"/>
      <c r="I99" s="43"/>
      <c r="J99" s="422"/>
      <c r="K99" s="43"/>
      <c r="L99" s="38" t="str">
        <f>IF(Q29="","",MID(Q29,1,5))</f>
        <v/>
      </c>
      <c r="M99" s="476"/>
      <c r="P99" s="474"/>
      <c r="Q99" s="475"/>
      <c r="R99" s="476"/>
      <c r="S99" s="476"/>
    </row>
    <row r="100" spans="3:19" s="6" customFormat="1" ht="12.75" hidden="1" customHeight="1" x14ac:dyDescent="0.25">
      <c r="C100" s="42">
        <v>60</v>
      </c>
      <c r="D100" s="38" t="str">
        <f t="shared" si="0"/>
        <v/>
      </c>
      <c r="E100" s="43" t="str">
        <f t="shared" ref="E100:E103" si="21">IF(OR($S$27="",AND(R30="",S30="")),"",CONCATENATE($S$27,": ",IF(O30="","",O30&amp;", "),IF(P30="","",P30&amp;", "),IF(Q30="","",Q30&amp;", "),IF(R30="","xxxx",TEXT(R30,"# ##0,-")),", ",IF(S30="","xxxx",TEXT(S30,"# ##0,-"))))</f>
        <v/>
      </c>
      <c r="F100" s="421"/>
      <c r="G100" s="421"/>
      <c r="H100" s="43"/>
      <c r="I100" s="43"/>
      <c r="J100" s="422"/>
      <c r="K100" s="43"/>
      <c r="L100" s="38" t="str">
        <f t="shared" ref="L100:L103" si="22">IF(Q30="","",MID(Q30,1,5))</f>
        <v/>
      </c>
      <c r="M100" s="476"/>
      <c r="P100" s="474"/>
      <c r="Q100" s="475"/>
      <c r="R100" s="476"/>
      <c r="S100" s="476"/>
    </row>
    <row r="101" spans="3:19" s="6" customFormat="1" ht="12.75" hidden="1" customHeight="1" x14ac:dyDescent="0.25">
      <c r="C101" s="42">
        <v>61</v>
      </c>
      <c r="D101" s="38" t="str">
        <f t="shared" si="0"/>
        <v/>
      </c>
      <c r="E101" s="43" t="str">
        <f t="shared" si="21"/>
        <v/>
      </c>
      <c r="F101" s="421"/>
      <c r="G101" s="421"/>
      <c r="H101" s="43"/>
      <c r="I101" s="43"/>
      <c r="J101" s="422"/>
      <c r="K101" s="43"/>
      <c r="L101" s="38" t="str">
        <f t="shared" si="22"/>
        <v/>
      </c>
      <c r="M101" s="476"/>
      <c r="P101" s="474"/>
      <c r="Q101" s="475"/>
      <c r="R101" s="476"/>
      <c r="S101" s="476"/>
    </row>
    <row r="102" spans="3:19" s="6" customFormat="1" ht="12.75" hidden="1" customHeight="1" x14ac:dyDescent="0.25">
      <c r="C102" s="42">
        <v>62</v>
      </c>
      <c r="D102" s="38" t="str">
        <f t="shared" si="0"/>
        <v/>
      </c>
      <c r="E102" s="43" t="str">
        <f t="shared" si="21"/>
        <v/>
      </c>
      <c r="F102" s="421"/>
      <c r="G102" s="421"/>
      <c r="H102" s="43"/>
      <c r="I102" s="43"/>
      <c r="J102" s="422"/>
      <c r="K102" s="43"/>
      <c r="L102" s="38" t="str">
        <f t="shared" si="22"/>
        <v>SALDO</v>
      </c>
      <c r="M102" s="476"/>
      <c r="P102" s="474"/>
      <c r="Q102" s="475"/>
      <c r="R102" s="476"/>
      <c r="S102" s="476"/>
    </row>
    <row r="103" spans="3:19" s="6" customFormat="1" ht="12.75" hidden="1" customHeight="1" x14ac:dyDescent="0.25">
      <c r="C103" s="42">
        <v>63</v>
      </c>
      <c r="D103" s="38" t="str">
        <f t="shared" si="0"/>
        <v/>
      </c>
      <c r="E103" s="43" t="str">
        <f t="shared" si="21"/>
        <v/>
      </c>
      <c r="F103" s="421"/>
      <c r="G103" s="421"/>
      <c r="H103" s="43"/>
      <c r="I103" s="43"/>
      <c r="J103" s="422"/>
      <c r="K103" s="43"/>
      <c r="L103" s="38" t="str">
        <f t="shared" si="22"/>
        <v>Summe</v>
      </c>
      <c r="M103" s="476"/>
      <c r="P103" s="474"/>
      <c r="Q103" s="475"/>
      <c r="R103" s="476"/>
      <c r="S103" s="476"/>
    </row>
  </sheetData>
  <sheetProtection algorithmName="SHA-512" hashValue="M2KcNOH+2xueYZcLmqMeroD6sB6gv+8EwuL+Ah0cjmMX/pHc2DtNTJnRDBq1KkEUua5gIfh6eF7ntRPfZyexfQ==" saltValue="4EyQzSMHtu/FoaRzdY/PGA==" spinCount="100000" sheet="1" objects="1" scenarios="1"/>
  <dataValidations count="4">
    <dataValidation type="list" allowBlank="1" showInputMessage="1" showErrorMessage="1" sqref="E5:E7 E13:E15 E21:E23 E29:E31 K5:K7 K13:K23 K29:K31 Q5:Q7 Q13:Q15 Q21:Q23 Q29:Q31" xr:uid="{00000000-0002-0000-0300-000000000000}">
      <formula1>B_Text</formula1>
    </dataValidation>
    <dataValidation type="list" allowBlank="1" showInputMessage="1" showErrorMessage="1" sqref="D5:D8 D13:D16 D21:D24 D29:D32 J29:J32 J13:J24 J5:J8 P5:P8 P13:P16 P21:P24 P29:P32" xr:uid="{00000000-0002-0000-0300-000001000000}">
      <formula1>Dat</formula1>
    </dataValidation>
    <dataValidation type="list" allowBlank="1" showInputMessage="1" showErrorMessage="1" sqref="O5:O8 C5:C8 C13:C16 C21:C24 I5:I8 I13:I24 I29:I32 O29:O32 O21:O24 O13:O16 C29:C32" xr:uid="{00000000-0002-0000-0300-000002000000}">
      <formula1>BNr</formula1>
    </dataValidation>
    <dataValidation type="list" allowBlank="1" showInputMessage="1" showErrorMessage="1" sqref="G3 M3 S3 S11 M11 G11 G19 S19 G27 M27 S27" xr:uid="{00000000-0002-0000-0300-000003000000}">
      <formula1>KTONR</formula1>
    </dataValidation>
  </dataValidations>
  <pageMargins left="0.39370078740157483" right="0.78740157480314965" top="0.59055118110236227" bottom="0.59055118110236227" header="0.39370078740157483" footer="0.31496062992125984"/>
  <pageSetup paperSize="9" scale="77" orientation="landscape" blackAndWhite="1" r:id="rId1"/>
  <headerFooter>
    <oddFooter>&amp;L&amp;"+,Fett"&amp;8Seite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B103"/>
  <sheetViews>
    <sheetView showGridLines="0" showRowColHeaders="0" workbookViewId="0">
      <pane ySplit="1" topLeftCell="A2" activePane="bottomLeft" state="frozen"/>
      <selection activeCell="E5" sqref="E5"/>
      <selection pane="bottomLeft" activeCell="A2" sqref="A1:A1048576"/>
    </sheetView>
  </sheetViews>
  <sheetFormatPr baseColWidth="10" defaultColWidth="0" defaultRowHeight="15" zeroHeight="1" x14ac:dyDescent="0.25"/>
  <cols>
    <col min="1" max="1" width="0.140625" style="95" customWidth="1"/>
    <col min="2" max="2" width="4.7109375" style="95" customWidth="1"/>
    <col min="3" max="3" width="5.7109375" style="95" customWidth="1"/>
    <col min="4" max="4" width="22.7109375" style="95" customWidth="1"/>
    <col min="5" max="6" width="11.7109375" style="95" customWidth="1"/>
    <col min="7" max="7" width="1.7109375" style="95" customWidth="1"/>
    <col min="8" max="8" width="4.7109375" style="95" customWidth="1"/>
    <col min="9" max="9" width="5.7109375" style="95" customWidth="1"/>
    <col min="10" max="10" width="22.7109375" style="95" customWidth="1"/>
    <col min="11" max="12" width="11.7109375" style="95" customWidth="1"/>
    <col min="13" max="13" width="1.7109375" style="95" customWidth="1"/>
    <col min="14" max="14" width="4.7109375" style="95" customWidth="1"/>
    <col min="15" max="15" width="5.7109375" style="95" customWidth="1"/>
    <col min="16" max="16" width="22.7109375" style="95" customWidth="1"/>
    <col min="17" max="18" width="11.7109375" style="95" customWidth="1"/>
    <col min="19" max="19" width="2.7109375" style="95" customWidth="1"/>
    <col min="20" max="27" width="11.42578125" style="95" customWidth="1"/>
    <col min="28" max="28" width="0" style="95" hidden="1" customWidth="1"/>
    <col min="29" max="16384" width="11.42578125" style="95" hidden="1"/>
  </cols>
  <sheetData>
    <row r="1" spans="2:27" s="48" customFormat="1" ht="27" customHeight="1" x14ac:dyDescent="0.2">
      <c r="B1" s="73" t="s">
        <v>116</v>
      </c>
      <c r="C1" s="73"/>
      <c r="D1" s="73"/>
      <c r="E1" s="73"/>
      <c r="F1" s="73"/>
      <c r="G1" s="73"/>
      <c r="H1" s="73"/>
      <c r="I1" s="73"/>
      <c r="J1" s="73"/>
      <c r="K1" s="73"/>
      <c r="L1" s="73"/>
      <c r="M1" s="73"/>
      <c r="N1" s="73"/>
      <c r="O1" s="73"/>
      <c r="P1" s="73"/>
      <c r="Q1" s="73"/>
      <c r="R1" s="73"/>
      <c r="S1" s="5"/>
      <c r="T1" s="75" t="s">
        <v>102</v>
      </c>
      <c r="U1" s="5"/>
      <c r="V1" s="5"/>
      <c r="W1" s="5"/>
      <c r="X1" s="5"/>
      <c r="Y1" s="5"/>
      <c r="Z1" s="5"/>
      <c r="AA1" s="5"/>
    </row>
    <row r="2" spans="2:27" s="48" customFormat="1" ht="30" customHeight="1" x14ac:dyDescent="0.2">
      <c r="B2" s="393" t="s">
        <v>117</v>
      </c>
      <c r="C2" s="394"/>
      <c r="D2" s="423"/>
      <c r="E2" s="424"/>
      <c r="F2" s="424"/>
      <c r="G2" s="425"/>
      <c r="H2" s="393" t="s">
        <v>117</v>
      </c>
      <c r="I2" s="394"/>
      <c r="J2" s="426"/>
      <c r="K2" s="424"/>
      <c r="L2" s="424"/>
      <c r="M2" s="425"/>
      <c r="N2" s="393" t="s">
        <v>117</v>
      </c>
      <c r="O2" s="394"/>
      <c r="P2" s="423"/>
      <c r="Q2" s="424"/>
      <c r="R2" s="424"/>
      <c r="S2" s="6"/>
      <c r="T2" s="6"/>
      <c r="U2" s="6"/>
      <c r="V2" s="6"/>
      <c r="W2" s="6"/>
      <c r="X2" s="6"/>
      <c r="Y2" s="6"/>
      <c r="Z2" s="6"/>
      <c r="AA2" s="6"/>
    </row>
    <row r="3" spans="2:27" s="48" customFormat="1" ht="20.100000000000001" customHeight="1" x14ac:dyDescent="0.2">
      <c r="B3" s="427"/>
      <c r="C3" s="428"/>
      <c r="D3" s="429" t="str">
        <f>IF(F3="","",VLOOKUP(F3,KTOPL,2,0))</f>
        <v>Einnahmen Schafe</v>
      </c>
      <c r="E3" s="430" t="s">
        <v>105</v>
      </c>
      <c r="F3" s="431" t="s">
        <v>118</v>
      </c>
      <c r="H3" s="427"/>
      <c r="I3" s="428"/>
      <c r="J3" s="429" t="str">
        <f>IF(L3="","",VLOOKUP(L3,KTOPL,2,0))</f>
        <v/>
      </c>
      <c r="K3" s="430" t="s">
        <v>105</v>
      </c>
      <c r="L3" s="517"/>
      <c r="N3" s="427"/>
      <c r="O3" s="428"/>
      <c r="P3" s="429" t="str">
        <f>IF(R3="","",VLOOKUP(R3,KTOPL,2,0))</f>
        <v/>
      </c>
      <c r="Q3" s="430" t="s">
        <v>105</v>
      </c>
      <c r="R3" s="517"/>
      <c r="S3" s="6"/>
      <c r="T3" s="6"/>
      <c r="U3" s="6"/>
      <c r="V3" s="6"/>
      <c r="W3" s="6"/>
      <c r="X3" s="6"/>
      <c r="Y3" s="6"/>
      <c r="Z3" s="6"/>
      <c r="AA3" s="6"/>
    </row>
    <row r="4" spans="2:27" s="48" customFormat="1" ht="20.100000000000001" customHeight="1" x14ac:dyDescent="0.2">
      <c r="B4" s="432" t="s">
        <v>106</v>
      </c>
      <c r="C4" s="433" t="s">
        <v>107</v>
      </c>
      <c r="D4" s="432" t="s">
        <v>11</v>
      </c>
      <c r="E4" s="434" t="s">
        <v>108</v>
      </c>
      <c r="F4" s="434" t="s">
        <v>109</v>
      </c>
      <c r="H4" s="432" t="s">
        <v>106</v>
      </c>
      <c r="I4" s="433" t="s">
        <v>107</v>
      </c>
      <c r="J4" s="432" t="s">
        <v>11</v>
      </c>
      <c r="K4" s="434" t="s">
        <v>108</v>
      </c>
      <c r="L4" s="434" t="s">
        <v>109</v>
      </c>
      <c r="N4" s="432" t="s">
        <v>106</v>
      </c>
      <c r="O4" s="433" t="s">
        <v>107</v>
      </c>
      <c r="P4" s="432" t="s">
        <v>11</v>
      </c>
      <c r="Q4" s="434" t="s">
        <v>108</v>
      </c>
      <c r="R4" s="434" t="s">
        <v>109</v>
      </c>
      <c r="S4" s="6"/>
      <c r="T4" s="6"/>
      <c r="U4" s="6"/>
      <c r="V4" s="6"/>
      <c r="W4" s="6"/>
      <c r="X4" s="6"/>
      <c r="Y4" s="6"/>
      <c r="Z4" s="6"/>
      <c r="AA4" s="6"/>
    </row>
    <row r="5" spans="2:27" s="48" customFormat="1" ht="20.100000000000001" customHeight="1" x14ac:dyDescent="0.2">
      <c r="B5" s="507"/>
      <c r="C5" s="508"/>
      <c r="D5" s="494"/>
      <c r="E5" s="509"/>
      <c r="F5" s="510"/>
      <c r="G5" s="435"/>
      <c r="H5" s="492"/>
      <c r="I5" s="493"/>
      <c r="J5" s="522"/>
      <c r="K5" s="495"/>
      <c r="L5" s="496"/>
      <c r="M5" s="435"/>
      <c r="N5" s="492"/>
      <c r="O5" s="493"/>
      <c r="P5" s="522"/>
      <c r="Q5" s="495"/>
      <c r="R5" s="496"/>
      <c r="S5" s="6"/>
      <c r="T5" s="6"/>
      <c r="U5" s="6"/>
      <c r="V5" s="6"/>
      <c r="W5" s="6"/>
      <c r="X5" s="6"/>
      <c r="Y5" s="6"/>
      <c r="Z5" s="6"/>
      <c r="AA5" s="6"/>
    </row>
    <row r="6" spans="2:27" s="48" customFormat="1" ht="20.100000000000001" customHeight="1" x14ac:dyDescent="0.2">
      <c r="B6" s="511"/>
      <c r="C6" s="512"/>
      <c r="D6" s="511"/>
      <c r="E6" s="513"/>
      <c r="F6" s="513"/>
      <c r="G6" s="435"/>
      <c r="H6" s="497"/>
      <c r="I6" s="498"/>
      <c r="J6" s="497"/>
      <c r="K6" s="500"/>
      <c r="L6" s="500"/>
      <c r="M6" s="435"/>
      <c r="N6" s="497"/>
      <c r="O6" s="498"/>
      <c r="P6" s="497"/>
      <c r="Q6" s="500"/>
      <c r="R6" s="500"/>
      <c r="S6" s="6"/>
      <c r="T6" s="6"/>
      <c r="U6" s="6"/>
      <c r="V6" s="6"/>
      <c r="W6" s="6"/>
      <c r="X6" s="6"/>
      <c r="Y6" s="6"/>
      <c r="Z6" s="6"/>
      <c r="AA6" s="6"/>
    </row>
    <row r="7" spans="2:27" s="48" customFormat="1" ht="20.100000000000001" customHeight="1" x14ac:dyDescent="0.2">
      <c r="B7" s="511"/>
      <c r="C7" s="512"/>
      <c r="D7" s="511"/>
      <c r="E7" s="513"/>
      <c r="F7" s="513"/>
      <c r="G7" s="435"/>
      <c r="H7" s="497"/>
      <c r="I7" s="498"/>
      <c r="J7" s="497"/>
      <c r="K7" s="500"/>
      <c r="L7" s="500"/>
      <c r="M7" s="435"/>
      <c r="N7" s="497"/>
      <c r="O7" s="498"/>
      <c r="P7" s="497"/>
      <c r="Q7" s="500"/>
      <c r="R7" s="500"/>
      <c r="S7" s="6"/>
      <c r="T7" s="6"/>
      <c r="U7" s="6"/>
      <c r="V7" s="6"/>
      <c r="W7" s="6"/>
      <c r="X7" s="6"/>
      <c r="Y7" s="6"/>
      <c r="Z7" s="6"/>
      <c r="AA7" s="6"/>
    </row>
    <row r="8" spans="2:27" s="48" customFormat="1" ht="20.100000000000001" customHeight="1" x14ac:dyDescent="0.2">
      <c r="B8" s="511"/>
      <c r="C8" s="512"/>
      <c r="D8" s="511"/>
      <c r="E8" s="513"/>
      <c r="F8" s="513"/>
      <c r="G8" s="435"/>
      <c r="H8" s="406" t="s">
        <v>66</v>
      </c>
      <c r="I8" s="407" t="s">
        <v>67</v>
      </c>
      <c r="J8" s="406" t="s">
        <v>110</v>
      </c>
      <c r="K8" s="501"/>
      <c r="L8" s="501"/>
      <c r="M8" s="435"/>
      <c r="N8" s="406" t="s">
        <v>66</v>
      </c>
      <c r="O8" s="407" t="s">
        <v>67</v>
      </c>
      <c r="P8" s="406" t="s">
        <v>110</v>
      </c>
      <c r="Q8" s="501"/>
      <c r="R8" s="501"/>
      <c r="S8" s="6"/>
      <c r="T8" s="6"/>
      <c r="U8" s="6"/>
      <c r="V8" s="6"/>
      <c r="W8" s="6"/>
      <c r="X8" s="6"/>
      <c r="Y8" s="6"/>
      <c r="Z8" s="6"/>
      <c r="AA8" s="6"/>
    </row>
    <row r="9" spans="2:27" s="48" customFormat="1" ht="20.100000000000001" customHeight="1" thickBot="1" x14ac:dyDescent="0.25">
      <c r="B9" s="507"/>
      <c r="C9" s="508"/>
      <c r="D9" s="494"/>
      <c r="E9" s="509"/>
      <c r="F9" s="510"/>
      <c r="H9" s="408"/>
      <c r="I9" s="409"/>
      <c r="J9" s="410" t="s">
        <v>111</v>
      </c>
      <c r="K9" s="502"/>
      <c r="L9" s="502"/>
      <c r="N9" s="408"/>
      <c r="O9" s="409"/>
      <c r="P9" s="410" t="s">
        <v>111</v>
      </c>
      <c r="Q9" s="502"/>
      <c r="R9" s="502"/>
      <c r="S9" s="6"/>
      <c r="T9" s="6"/>
      <c r="U9" s="6"/>
      <c r="V9" s="6"/>
      <c r="W9" s="6"/>
      <c r="X9" s="6"/>
      <c r="Y9" s="6"/>
      <c r="Z9" s="6"/>
      <c r="AA9" s="6"/>
    </row>
    <row r="10" spans="2:27" s="48" customFormat="1" ht="20.100000000000001" customHeight="1" thickTop="1" x14ac:dyDescent="0.2">
      <c r="B10" s="514"/>
      <c r="C10" s="515"/>
      <c r="D10" s="514"/>
      <c r="E10" s="516"/>
      <c r="F10" s="516"/>
      <c r="H10" s="393" t="s">
        <v>117</v>
      </c>
      <c r="I10" s="411"/>
      <c r="K10" s="412"/>
      <c r="L10" s="412"/>
      <c r="N10" s="393" t="s">
        <v>117</v>
      </c>
      <c r="O10" s="411"/>
      <c r="P10" s="393"/>
      <c r="Q10" s="412"/>
      <c r="R10" s="412"/>
      <c r="S10" s="6"/>
      <c r="T10" s="6"/>
      <c r="U10" s="6"/>
      <c r="V10" s="6"/>
      <c r="W10" s="6"/>
      <c r="X10" s="6"/>
      <c r="Y10" s="6"/>
      <c r="Z10" s="6"/>
      <c r="AA10" s="6"/>
    </row>
    <row r="11" spans="2:27" s="48" customFormat="1" ht="20.100000000000001" customHeight="1" x14ac:dyDescent="0.2">
      <c r="B11" s="514"/>
      <c r="C11" s="515"/>
      <c r="D11" s="514"/>
      <c r="E11" s="516"/>
      <c r="F11" s="516"/>
      <c r="H11" s="427"/>
      <c r="I11" s="428"/>
      <c r="J11" s="429" t="str">
        <f>IF(L11="","",VLOOKUP(L11,KTOPL,2,0))</f>
        <v/>
      </c>
      <c r="K11" s="430" t="s">
        <v>105</v>
      </c>
      <c r="L11" s="518"/>
      <c r="N11" s="427"/>
      <c r="O11" s="428"/>
      <c r="P11" s="429" t="str">
        <f>IF(R11="","",VLOOKUP(R11,KTOPL,2,0))</f>
        <v/>
      </c>
      <c r="Q11" s="430" t="s">
        <v>105</v>
      </c>
      <c r="R11" s="518"/>
      <c r="S11" s="6"/>
      <c r="T11" s="6"/>
      <c r="U11" s="6"/>
      <c r="V11" s="6"/>
      <c r="W11" s="6"/>
      <c r="X11" s="6"/>
      <c r="Y11" s="6"/>
      <c r="Z11" s="6"/>
      <c r="AA11" s="6"/>
    </row>
    <row r="12" spans="2:27" s="48" customFormat="1" ht="20.100000000000001" customHeight="1" x14ac:dyDescent="0.2">
      <c r="B12" s="514"/>
      <c r="C12" s="515"/>
      <c r="D12" s="514"/>
      <c r="E12" s="516"/>
      <c r="F12" s="516"/>
      <c r="H12" s="432" t="s">
        <v>106</v>
      </c>
      <c r="I12" s="433" t="s">
        <v>107</v>
      </c>
      <c r="J12" s="432" t="s">
        <v>11</v>
      </c>
      <c r="K12" s="434" t="s">
        <v>108</v>
      </c>
      <c r="L12" s="434" t="s">
        <v>109</v>
      </c>
      <c r="N12" s="432" t="s">
        <v>106</v>
      </c>
      <c r="O12" s="433" t="s">
        <v>107</v>
      </c>
      <c r="P12" s="432" t="s">
        <v>11</v>
      </c>
      <c r="Q12" s="434" t="s">
        <v>108</v>
      </c>
      <c r="R12" s="434" t="s">
        <v>109</v>
      </c>
      <c r="S12" s="6"/>
      <c r="T12" s="6"/>
      <c r="U12" s="6"/>
      <c r="V12" s="6"/>
      <c r="W12" s="6"/>
      <c r="X12" s="6"/>
      <c r="Y12" s="6"/>
      <c r="Z12" s="6"/>
      <c r="AA12" s="6"/>
    </row>
    <row r="13" spans="2:27" s="48" customFormat="1" ht="20.100000000000001" customHeight="1" x14ac:dyDescent="0.2">
      <c r="B13" s="514"/>
      <c r="C13" s="515"/>
      <c r="D13" s="514"/>
      <c r="E13" s="516"/>
      <c r="F13" s="516"/>
      <c r="G13" s="435"/>
      <c r="H13" s="497"/>
      <c r="I13" s="498"/>
      <c r="J13" s="497"/>
      <c r="K13" s="500"/>
      <c r="L13" s="500"/>
      <c r="M13" s="435"/>
      <c r="N13" s="492"/>
      <c r="O13" s="493"/>
      <c r="P13" s="522"/>
      <c r="Q13" s="495"/>
      <c r="R13" s="496"/>
      <c r="S13" s="6"/>
      <c r="T13" s="6"/>
      <c r="U13" s="6"/>
      <c r="V13" s="6"/>
      <c r="W13" s="6"/>
      <c r="X13" s="6"/>
      <c r="Y13" s="6"/>
      <c r="Z13" s="6"/>
      <c r="AA13" s="6"/>
    </row>
    <row r="14" spans="2:27" s="48" customFormat="1" ht="20.100000000000001" customHeight="1" x14ac:dyDescent="0.2">
      <c r="B14" s="514"/>
      <c r="C14" s="515"/>
      <c r="D14" s="514"/>
      <c r="E14" s="516"/>
      <c r="F14" s="516"/>
      <c r="G14" s="435"/>
      <c r="H14" s="497"/>
      <c r="I14" s="498"/>
      <c r="J14" s="497"/>
      <c r="K14" s="500"/>
      <c r="L14" s="500"/>
      <c r="M14" s="435"/>
      <c r="N14" s="497"/>
      <c r="O14" s="498"/>
      <c r="P14" s="497"/>
      <c r="Q14" s="500"/>
      <c r="R14" s="500"/>
      <c r="S14" s="6"/>
      <c r="T14" s="6"/>
      <c r="U14" s="6"/>
      <c r="V14" s="6"/>
      <c r="W14" s="6"/>
      <c r="X14" s="6"/>
      <c r="Y14" s="6"/>
      <c r="Z14" s="6"/>
      <c r="AA14" s="6"/>
    </row>
    <row r="15" spans="2:27" s="48" customFormat="1" ht="20.100000000000001" customHeight="1" x14ac:dyDescent="0.2">
      <c r="B15" s="514"/>
      <c r="C15" s="515"/>
      <c r="D15" s="514"/>
      <c r="E15" s="516"/>
      <c r="F15" s="516"/>
      <c r="G15" s="435"/>
      <c r="H15" s="497"/>
      <c r="I15" s="498"/>
      <c r="J15" s="497"/>
      <c r="K15" s="500"/>
      <c r="L15" s="500"/>
      <c r="M15" s="435"/>
      <c r="N15" s="497"/>
      <c r="O15" s="498"/>
      <c r="P15" s="497"/>
      <c r="Q15" s="500"/>
      <c r="R15" s="500"/>
      <c r="S15" s="6"/>
      <c r="T15" s="6"/>
      <c r="U15" s="6"/>
      <c r="V15" s="6"/>
      <c r="W15" s="6"/>
      <c r="X15" s="6"/>
      <c r="Y15" s="6"/>
      <c r="Z15" s="6"/>
      <c r="AA15" s="6"/>
    </row>
    <row r="16" spans="2:27" s="48" customFormat="1" ht="20.100000000000001" customHeight="1" x14ac:dyDescent="0.2">
      <c r="B16" s="436" t="s">
        <v>66</v>
      </c>
      <c r="C16" s="437" t="s">
        <v>67</v>
      </c>
      <c r="D16" s="436" t="s">
        <v>110</v>
      </c>
      <c r="E16" s="516"/>
      <c r="F16" s="516"/>
      <c r="G16" s="435"/>
      <c r="H16" s="406" t="s">
        <v>66</v>
      </c>
      <c r="I16" s="407" t="s">
        <v>67</v>
      </c>
      <c r="J16" s="406" t="s">
        <v>110</v>
      </c>
      <c r="K16" s="501"/>
      <c r="L16" s="501"/>
      <c r="M16" s="435"/>
      <c r="N16" s="406" t="s">
        <v>66</v>
      </c>
      <c r="O16" s="407" t="s">
        <v>67</v>
      </c>
      <c r="P16" s="406" t="s">
        <v>110</v>
      </c>
      <c r="Q16" s="501"/>
      <c r="R16" s="501"/>
      <c r="S16" s="6"/>
      <c r="T16" s="6"/>
      <c r="U16" s="6"/>
      <c r="V16" s="6"/>
      <c r="W16" s="6"/>
      <c r="X16" s="6"/>
      <c r="Y16" s="6"/>
      <c r="Z16" s="6"/>
      <c r="AA16" s="6"/>
    </row>
    <row r="17" spans="2:27" s="48" customFormat="1" ht="20.100000000000001" customHeight="1" thickBot="1" x14ac:dyDescent="0.25">
      <c r="B17" s="408"/>
      <c r="C17" s="409"/>
      <c r="D17" s="410" t="s">
        <v>111</v>
      </c>
      <c r="E17" s="502"/>
      <c r="F17" s="502"/>
      <c r="H17" s="408"/>
      <c r="I17" s="409"/>
      <c r="J17" s="410" t="s">
        <v>111</v>
      </c>
      <c r="K17" s="502"/>
      <c r="L17" s="502"/>
      <c r="N17" s="408"/>
      <c r="O17" s="409"/>
      <c r="P17" s="410" t="s">
        <v>111</v>
      </c>
      <c r="Q17" s="502"/>
      <c r="R17" s="502"/>
      <c r="S17" s="6"/>
      <c r="T17" s="6"/>
      <c r="U17" s="6"/>
      <c r="V17" s="6"/>
      <c r="W17" s="6"/>
      <c r="X17" s="6"/>
      <c r="Y17" s="6"/>
      <c r="Z17" s="6"/>
      <c r="AA17" s="6"/>
    </row>
    <row r="18" spans="2:27" s="48" customFormat="1" ht="20.100000000000001" customHeight="1" thickTop="1" x14ac:dyDescent="0.2">
      <c r="B18" s="48" t="s">
        <v>119</v>
      </c>
      <c r="C18" s="411"/>
      <c r="D18" s="393"/>
      <c r="E18" s="412"/>
      <c r="F18" s="412"/>
      <c r="H18" s="48" t="s">
        <v>119</v>
      </c>
      <c r="I18" s="411"/>
      <c r="K18" s="412"/>
      <c r="L18" s="412"/>
      <c r="N18" s="48" t="s">
        <v>119</v>
      </c>
      <c r="O18" s="411"/>
      <c r="P18" s="393"/>
      <c r="Q18" s="412"/>
      <c r="R18" s="412"/>
      <c r="S18" s="6"/>
      <c r="T18" s="6"/>
      <c r="U18" s="6"/>
      <c r="V18" s="6"/>
      <c r="W18" s="6"/>
      <c r="X18" s="6"/>
      <c r="Y18" s="6"/>
      <c r="Z18" s="6"/>
      <c r="AA18" s="6"/>
    </row>
    <row r="19" spans="2:27" s="48" customFormat="1" ht="20.100000000000001" customHeight="1" x14ac:dyDescent="0.2">
      <c r="B19" s="438"/>
      <c r="C19" s="439"/>
      <c r="D19" s="440" t="str">
        <f>IF(F19="","",VLOOKUP(F19,KTOPL,2,0))</f>
        <v/>
      </c>
      <c r="E19" s="441" t="s">
        <v>105</v>
      </c>
      <c r="F19" s="519"/>
      <c r="H19" s="438"/>
      <c r="I19" s="439"/>
      <c r="J19" s="440" t="str">
        <f>IF(L19="","",VLOOKUP(L19,KTOPL,2,0))</f>
        <v/>
      </c>
      <c r="K19" s="441" t="s">
        <v>105</v>
      </c>
      <c r="L19" s="519"/>
      <c r="N19" s="438"/>
      <c r="O19" s="439"/>
      <c r="P19" s="440" t="str">
        <f>IF(R19="","",VLOOKUP(R19,KTOPL,2,0))</f>
        <v/>
      </c>
      <c r="Q19" s="441" t="s">
        <v>105</v>
      </c>
      <c r="R19" s="520"/>
      <c r="S19" s="6"/>
      <c r="T19" s="6"/>
      <c r="U19" s="6"/>
      <c r="V19" s="6"/>
      <c r="W19" s="6"/>
      <c r="X19" s="6"/>
      <c r="Y19" s="6"/>
      <c r="Z19" s="6"/>
      <c r="AA19" s="6"/>
    </row>
    <row r="20" spans="2:27" s="48" customFormat="1" ht="20.100000000000001" customHeight="1" x14ac:dyDescent="0.2">
      <c r="B20" s="442" t="s">
        <v>106</v>
      </c>
      <c r="C20" s="443" t="s">
        <v>107</v>
      </c>
      <c r="D20" s="442" t="s">
        <v>11</v>
      </c>
      <c r="E20" s="444" t="s">
        <v>108</v>
      </c>
      <c r="F20" s="444" t="s">
        <v>109</v>
      </c>
      <c r="H20" s="442" t="s">
        <v>106</v>
      </c>
      <c r="I20" s="443" t="s">
        <v>107</v>
      </c>
      <c r="J20" s="442" t="s">
        <v>11</v>
      </c>
      <c r="K20" s="444" t="s">
        <v>108</v>
      </c>
      <c r="L20" s="444" t="s">
        <v>109</v>
      </c>
      <c r="N20" s="442" t="s">
        <v>106</v>
      </c>
      <c r="O20" s="443" t="s">
        <v>107</v>
      </c>
      <c r="P20" s="442" t="s">
        <v>11</v>
      </c>
      <c r="Q20" s="444" t="s">
        <v>108</v>
      </c>
      <c r="R20" s="444" t="s">
        <v>109</v>
      </c>
      <c r="S20" s="6"/>
      <c r="T20" s="6"/>
      <c r="U20" s="6"/>
      <c r="V20" s="6"/>
      <c r="W20" s="6"/>
      <c r="X20" s="6"/>
      <c r="Y20" s="6"/>
      <c r="Z20" s="6"/>
      <c r="AA20" s="6"/>
    </row>
    <row r="21" spans="2:27" s="48" customFormat="1" ht="20.100000000000001" customHeight="1" x14ac:dyDescent="0.2">
      <c r="B21" s="507"/>
      <c r="C21" s="508"/>
      <c r="D21" s="494"/>
      <c r="E21" s="509"/>
      <c r="F21" s="510"/>
      <c r="G21" s="445"/>
      <c r="H21" s="507"/>
      <c r="I21" s="508"/>
      <c r="J21" s="494"/>
      <c r="K21" s="509"/>
      <c r="L21" s="510"/>
      <c r="M21" s="445"/>
      <c r="N21" s="507"/>
      <c r="O21" s="508"/>
      <c r="P21" s="494"/>
      <c r="Q21" s="509"/>
      <c r="R21" s="510"/>
      <c r="S21" s="6"/>
      <c r="T21" s="6"/>
      <c r="U21" s="6"/>
      <c r="V21" s="6"/>
      <c r="W21" s="6"/>
      <c r="X21" s="6"/>
      <c r="Y21" s="6"/>
      <c r="Z21" s="6"/>
      <c r="AA21" s="6"/>
    </row>
    <row r="22" spans="2:27" s="48" customFormat="1" ht="20.100000000000001" customHeight="1" x14ac:dyDescent="0.2">
      <c r="B22" s="511"/>
      <c r="C22" s="512"/>
      <c r="D22" s="511"/>
      <c r="E22" s="513"/>
      <c r="F22" s="513"/>
      <c r="G22" s="445"/>
      <c r="H22" s="511"/>
      <c r="I22" s="512"/>
      <c r="J22" s="511"/>
      <c r="K22" s="513"/>
      <c r="L22" s="513"/>
      <c r="M22" s="445"/>
      <c r="N22" s="511"/>
      <c r="O22" s="512"/>
      <c r="P22" s="511"/>
      <c r="Q22" s="513"/>
      <c r="R22" s="513"/>
      <c r="S22" s="6"/>
      <c r="T22" s="6"/>
      <c r="U22" s="6"/>
      <c r="V22" s="6"/>
      <c r="W22" s="6"/>
      <c r="X22" s="6"/>
      <c r="Y22" s="6"/>
      <c r="Z22" s="6"/>
      <c r="AA22" s="6"/>
    </row>
    <row r="23" spans="2:27" s="48" customFormat="1" ht="20.100000000000001" customHeight="1" x14ac:dyDescent="0.2">
      <c r="B23" s="511"/>
      <c r="C23" s="512"/>
      <c r="D23" s="511"/>
      <c r="E23" s="513"/>
      <c r="F23" s="513"/>
      <c r="G23" s="445"/>
      <c r="H23" s="511"/>
      <c r="I23" s="512"/>
      <c r="J23" s="511"/>
      <c r="K23" s="513"/>
      <c r="L23" s="513"/>
      <c r="M23" s="445"/>
      <c r="N23" s="511"/>
      <c r="O23" s="512"/>
      <c r="P23" s="511"/>
      <c r="Q23" s="513"/>
      <c r="R23" s="513"/>
      <c r="S23" s="6"/>
      <c r="T23" s="6"/>
      <c r="U23" s="6"/>
      <c r="V23" s="6"/>
      <c r="W23" s="6"/>
      <c r="X23" s="6"/>
      <c r="Y23" s="6"/>
      <c r="Z23" s="6"/>
      <c r="AA23" s="6"/>
    </row>
    <row r="24" spans="2:27" s="48" customFormat="1" ht="20.100000000000001" customHeight="1" x14ac:dyDescent="0.2">
      <c r="B24" s="436" t="s">
        <v>66</v>
      </c>
      <c r="C24" s="437" t="s">
        <v>67</v>
      </c>
      <c r="D24" s="436" t="s">
        <v>110</v>
      </c>
      <c r="E24" s="516"/>
      <c r="F24" s="516"/>
      <c r="G24" s="445"/>
      <c r="H24" s="436" t="s">
        <v>66</v>
      </c>
      <c r="I24" s="437" t="s">
        <v>67</v>
      </c>
      <c r="J24" s="436" t="s">
        <v>110</v>
      </c>
      <c r="K24" s="516"/>
      <c r="L24" s="516"/>
      <c r="M24" s="445"/>
      <c r="N24" s="436" t="s">
        <v>66</v>
      </c>
      <c r="O24" s="437" t="s">
        <v>67</v>
      </c>
      <c r="P24" s="436" t="s">
        <v>110</v>
      </c>
      <c r="Q24" s="516"/>
      <c r="R24" s="516"/>
      <c r="S24" s="6"/>
      <c r="T24" s="6"/>
      <c r="U24" s="6"/>
      <c r="V24" s="6"/>
      <c r="W24" s="6"/>
      <c r="X24" s="6"/>
      <c r="Y24" s="6"/>
      <c r="Z24" s="6"/>
      <c r="AA24" s="6"/>
    </row>
    <row r="25" spans="2:27" s="48" customFormat="1" ht="20.100000000000001" customHeight="1" thickBot="1" x14ac:dyDescent="0.25">
      <c r="B25" s="408"/>
      <c r="C25" s="409"/>
      <c r="D25" s="410" t="s">
        <v>111</v>
      </c>
      <c r="E25" s="502"/>
      <c r="F25" s="502"/>
      <c r="H25" s="408"/>
      <c r="I25" s="409"/>
      <c r="J25" s="410" t="s">
        <v>111</v>
      </c>
      <c r="K25" s="502"/>
      <c r="L25" s="502"/>
      <c r="N25" s="408"/>
      <c r="O25" s="409"/>
      <c r="P25" s="410" t="s">
        <v>111</v>
      </c>
      <c r="Q25" s="502"/>
      <c r="R25" s="502"/>
      <c r="S25" s="6"/>
      <c r="T25" s="6"/>
      <c r="U25" s="6"/>
      <c r="V25" s="6"/>
      <c r="W25" s="6"/>
      <c r="X25" s="6"/>
      <c r="Y25" s="6"/>
      <c r="Z25" s="6"/>
      <c r="AA25" s="6"/>
    </row>
    <row r="26" spans="2:27" s="48" customFormat="1" ht="20.100000000000001" customHeight="1" thickTop="1" x14ac:dyDescent="0.2">
      <c r="B26" s="48" t="s">
        <v>120</v>
      </c>
      <c r="C26" s="411"/>
      <c r="D26" s="393"/>
      <c r="E26" s="412"/>
      <c r="F26" s="412"/>
      <c r="H26" s="48" t="s">
        <v>120</v>
      </c>
      <c r="I26" s="411"/>
      <c r="K26" s="412"/>
      <c r="L26" s="412"/>
      <c r="N26" s="48" t="s">
        <v>121</v>
      </c>
      <c r="O26" s="411"/>
      <c r="P26" s="393"/>
      <c r="Q26" s="412"/>
      <c r="R26" s="412"/>
      <c r="S26" s="6"/>
      <c r="T26" s="6"/>
      <c r="U26" s="6"/>
      <c r="V26" s="6"/>
      <c r="W26" s="6"/>
      <c r="X26" s="6"/>
      <c r="Y26" s="6"/>
      <c r="Z26" s="6"/>
      <c r="AA26" s="6"/>
    </row>
    <row r="27" spans="2:27" s="48" customFormat="1" ht="20.100000000000001" customHeight="1" x14ac:dyDescent="0.2">
      <c r="B27" s="446"/>
      <c r="C27" s="447"/>
      <c r="D27" s="448" t="str">
        <f>IF(F27="","",VLOOKUP(F27,KTOPL,2,0))</f>
        <v/>
      </c>
      <c r="E27" s="449" t="s">
        <v>105</v>
      </c>
      <c r="F27" s="521"/>
      <c r="H27" s="446"/>
      <c r="I27" s="447"/>
      <c r="J27" s="448" t="str">
        <f>IF(L27="","",VLOOKUP(L27,KTOPL,2,0))</f>
        <v/>
      </c>
      <c r="K27" s="449" t="s">
        <v>105</v>
      </c>
      <c r="L27" s="521"/>
      <c r="N27" s="427"/>
      <c r="O27" s="428"/>
      <c r="P27" s="429" t="str">
        <f>IF(R27="","",VLOOKUP(R27,KTOPL,2,0))</f>
        <v/>
      </c>
      <c r="Q27" s="430" t="s">
        <v>105</v>
      </c>
      <c r="R27" s="518"/>
      <c r="S27" s="6"/>
      <c r="T27" s="6"/>
      <c r="U27" s="6"/>
      <c r="V27" s="6"/>
      <c r="W27" s="6"/>
      <c r="X27" s="6"/>
      <c r="Y27" s="6"/>
      <c r="Z27" s="6"/>
      <c r="AA27" s="6"/>
    </row>
    <row r="28" spans="2:27" s="48" customFormat="1" ht="20.100000000000001" customHeight="1" x14ac:dyDescent="0.2">
      <c r="B28" s="450" t="s">
        <v>106</v>
      </c>
      <c r="C28" s="451" t="s">
        <v>107</v>
      </c>
      <c r="D28" s="450" t="s">
        <v>11</v>
      </c>
      <c r="E28" s="452" t="s">
        <v>108</v>
      </c>
      <c r="F28" s="452" t="s">
        <v>109</v>
      </c>
      <c r="H28" s="450" t="s">
        <v>106</v>
      </c>
      <c r="I28" s="451" t="s">
        <v>107</v>
      </c>
      <c r="J28" s="450" t="s">
        <v>11</v>
      </c>
      <c r="K28" s="452" t="s">
        <v>108</v>
      </c>
      <c r="L28" s="452" t="s">
        <v>109</v>
      </c>
      <c r="N28" s="450" t="s">
        <v>106</v>
      </c>
      <c r="O28" s="451" t="s">
        <v>107</v>
      </c>
      <c r="P28" s="450" t="s">
        <v>11</v>
      </c>
      <c r="Q28" s="452" t="s">
        <v>108</v>
      </c>
      <c r="R28" s="452" t="s">
        <v>109</v>
      </c>
      <c r="S28" s="6"/>
      <c r="T28" s="6"/>
      <c r="U28" s="6"/>
      <c r="V28" s="6"/>
      <c r="W28" s="6"/>
      <c r="X28" s="6"/>
      <c r="Y28" s="6"/>
      <c r="Z28" s="6"/>
      <c r="AA28" s="6"/>
    </row>
    <row r="29" spans="2:27" s="48" customFormat="1" ht="20.100000000000001" customHeight="1" x14ac:dyDescent="0.2">
      <c r="B29" s="511"/>
      <c r="C29" s="512"/>
      <c r="D29" s="511"/>
      <c r="E29" s="513"/>
      <c r="F29" s="513"/>
      <c r="G29" s="445"/>
      <c r="H29" s="511"/>
      <c r="I29" s="512"/>
      <c r="J29" s="511"/>
      <c r="K29" s="513"/>
      <c r="L29" s="513"/>
      <c r="M29" s="445"/>
      <c r="N29" s="507"/>
      <c r="O29" s="508"/>
      <c r="P29" s="494"/>
      <c r="Q29" s="509"/>
      <c r="R29" s="510"/>
      <c r="S29" s="6"/>
      <c r="T29" s="6"/>
      <c r="U29" s="6"/>
      <c r="V29" s="6"/>
      <c r="W29" s="6"/>
      <c r="X29" s="6"/>
      <c r="Y29" s="6"/>
      <c r="Z29" s="6"/>
      <c r="AA29" s="6"/>
    </row>
    <row r="30" spans="2:27" s="48" customFormat="1" ht="20.100000000000001" customHeight="1" x14ac:dyDescent="0.2">
      <c r="B30" s="511"/>
      <c r="C30" s="512"/>
      <c r="D30" s="511"/>
      <c r="E30" s="513"/>
      <c r="F30" s="513"/>
      <c r="G30" s="445"/>
      <c r="H30" s="511"/>
      <c r="I30" s="512"/>
      <c r="J30" s="511"/>
      <c r="K30" s="513"/>
      <c r="L30" s="513"/>
      <c r="M30" s="445"/>
      <c r="N30" s="511"/>
      <c r="O30" s="512"/>
      <c r="P30" s="511"/>
      <c r="Q30" s="513"/>
      <c r="R30" s="513"/>
      <c r="S30" s="6"/>
      <c r="T30" s="6"/>
      <c r="U30" s="6"/>
      <c r="V30" s="6"/>
      <c r="W30" s="6"/>
      <c r="X30" s="6"/>
      <c r="Y30" s="6"/>
      <c r="Z30" s="6"/>
      <c r="AA30" s="6"/>
    </row>
    <row r="31" spans="2:27" s="48" customFormat="1" ht="20.100000000000001" customHeight="1" x14ac:dyDescent="0.2">
      <c r="B31" s="511"/>
      <c r="C31" s="512"/>
      <c r="D31" s="511"/>
      <c r="E31" s="513"/>
      <c r="F31" s="513"/>
      <c r="G31" s="445"/>
      <c r="H31" s="511"/>
      <c r="I31" s="512"/>
      <c r="J31" s="511"/>
      <c r="K31" s="513"/>
      <c r="L31" s="513"/>
      <c r="M31" s="445"/>
      <c r="N31" s="511"/>
      <c r="O31" s="512"/>
      <c r="P31" s="511"/>
      <c r="Q31" s="513"/>
      <c r="R31" s="513"/>
      <c r="S31" s="6"/>
      <c r="T31" s="6"/>
      <c r="U31" s="6"/>
      <c r="V31" s="6"/>
      <c r="W31" s="6"/>
      <c r="X31" s="6"/>
      <c r="Y31" s="6"/>
      <c r="Z31" s="6"/>
      <c r="AA31" s="6"/>
    </row>
    <row r="32" spans="2:27" s="48" customFormat="1" ht="20.100000000000001" customHeight="1" x14ac:dyDescent="0.2">
      <c r="B32" s="436" t="s">
        <v>66</v>
      </c>
      <c r="C32" s="437" t="s">
        <v>67</v>
      </c>
      <c r="D32" s="436" t="s">
        <v>110</v>
      </c>
      <c r="E32" s="516"/>
      <c r="F32" s="516"/>
      <c r="G32" s="445"/>
      <c r="H32" s="436" t="s">
        <v>66</v>
      </c>
      <c r="I32" s="437" t="s">
        <v>67</v>
      </c>
      <c r="J32" s="436" t="s">
        <v>110</v>
      </c>
      <c r="K32" s="516"/>
      <c r="L32" s="516"/>
      <c r="M32" s="445"/>
      <c r="N32" s="436" t="s">
        <v>66</v>
      </c>
      <c r="O32" s="437" t="s">
        <v>67</v>
      </c>
      <c r="P32" s="436" t="s">
        <v>110</v>
      </c>
      <c r="Q32" s="516"/>
      <c r="R32" s="516"/>
      <c r="S32" s="6"/>
      <c r="T32" s="6"/>
      <c r="U32" s="6"/>
      <c r="V32" s="6"/>
      <c r="W32" s="6"/>
      <c r="X32" s="6"/>
      <c r="Y32" s="6"/>
      <c r="Z32" s="6"/>
      <c r="AA32" s="6"/>
    </row>
    <row r="33" spans="2:27" s="48" customFormat="1" ht="20.100000000000001" customHeight="1" thickBot="1" x14ac:dyDescent="0.25">
      <c r="B33" s="408"/>
      <c r="C33" s="409"/>
      <c r="D33" s="410" t="s">
        <v>111</v>
      </c>
      <c r="E33" s="502"/>
      <c r="F33" s="502"/>
      <c r="H33" s="408"/>
      <c r="I33" s="409"/>
      <c r="J33" s="410" t="s">
        <v>111</v>
      </c>
      <c r="K33" s="502"/>
      <c r="L33" s="502"/>
      <c r="N33" s="408"/>
      <c r="O33" s="409"/>
      <c r="P33" s="410" t="s">
        <v>111</v>
      </c>
      <c r="Q33" s="502"/>
      <c r="R33" s="502"/>
      <c r="S33" s="6"/>
      <c r="T33" s="6"/>
      <c r="U33" s="6"/>
      <c r="V33" s="6"/>
      <c r="W33" s="6"/>
      <c r="X33" s="6"/>
      <c r="Y33" s="6"/>
      <c r="Z33" s="6"/>
      <c r="AA33" s="6"/>
    </row>
    <row r="34" spans="2:27" s="48" customFormat="1" ht="12.75" customHeight="1" thickTop="1" x14ac:dyDescent="0.2">
      <c r="C34" s="411"/>
      <c r="D34" s="393"/>
      <c r="E34" s="412"/>
      <c r="F34" s="412"/>
      <c r="I34" s="411"/>
      <c r="K34" s="412"/>
      <c r="L34" s="412"/>
      <c r="O34" s="411"/>
      <c r="P34" s="393"/>
      <c r="Q34" s="412"/>
      <c r="R34" s="412"/>
      <c r="S34" s="6"/>
      <c r="T34" s="6"/>
      <c r="U34" s="6"/>
      <c r="V34" s="6"/>
      <c r="W34" s="6"/>
      <c r="X34" s="6"/>
      <c r="Y34" s="6"/>
      <c r="Z34" s="6"/>
      <c r="AA34" s="6"/>
    </row>
    <row r="35" spans="2:27" s="48" customFormat="1" ht="12.75" customHeight="1" x14ac:dyDescent="0.2">
      <c r="C35" s="411"/>
      <c r="D35" s="393"/>
      <c r="E35" s="412"/>
      <c r="F35" s="412"/>
      <c r="I35" s="411"/>
      <c r="K35" s="412"/>
      <c r="L35" s="412"/>
      <c r="O35" s="411"/>
      <c r="P35" s="393"/>
      <c r="Q35" s="412"/>
      <c r="R35" s="412"/>
      <c r="S35" s="6"/>
      <c r="T35" s="6"/>
      <c r="U35" s="6"/>
      <c r="V35" s="6"/>
      <c r="W35" s="6"/>
      <c r="X35" s="6"/>
      <c r="Y35" s="6"/>
      <c r="Z35" s="6"/>
      <c r="AA35" s="6"/>
    </row>
    <row r="36" spans="2:27" s="48" customFormat="1" ht="12.75" customHeight="1" x14ac:dyDescent="0.2">
      <c r="C36" s="411"/>
      <c r="D36" s="393"/>
      <c r="E36" s="412"/>
      <c r="F36" s="412"/>
      <c r="I36" s="411"/>
      <c r="K36" s="412"/>
      <c r="L36" s="412"/>
      <c r="O36" s="411"/>
      <c r="P36" s="393"/>
      <c r="Q36" s="412"/>
      <c r="R36" s="412"/>
      <c r="S36" s="6"/>
      <c r="T36" s="6"/>
      <c r="U36" s="6"/>
      <c r="V36" s="6"/>
      <c r="W36" s="6"/>
      <c r="X36" s="6"/>
      <c r="Y36" s="6"/>
      <c r="Z36" s="6"/>
      <c r="AA36" s="6"/>
    </row>
    <row r="37" spans="2:27" s="48" customFormat="1" ht="12.75" customHeight="1" x14ac:dyDescent="0.2">
      <c r="C37" s="411"/>
      <c r="D37" s="393"/>
      <c r="E37" s="412"/>
      <c r="F37" s="412"/>
      <c r="I37" s="411"/>
      <c r="K37" s="412"/>
      <c r="L37" s="412"/>
      <c r="O37" s="411"/>
      <c r="P37" s="393"/>
      <c r="Q37" s="412"/>
      <c r="R37" s="412"/>
      <c r="S37" s="6"/>
      <c r="T37" s="6"/>
      <c r="U37" s="6"/>
      <c r="V37" s="6"/>
      <c r="W37" s="6"/>
      <c r="X37" s="6"/>
      <c r="Y37" s="6"/>
      <c r="Z37" s="6"/>
      <c r="AA37" s="6"/>
    </row>
    <row r="38" spans="2:27" s="48" customFormat="1" ht="12.75" customHeight="1" x14ac:dyDescent="0.2">
      <c r="C38" s="411"/>
      <c r="D38" s="393"/>
      <c r="E38" s="412"/>
      <c r="F38" s="412"/>
      <c r="I38" s="411"/>
      <c r="K38" s="412"/>
      <c r="L38" s="412"/>
      <c r="O38" s="411"/>
      <c r="P38" s="393"/>
      <c r="Q38" s="412"/>
      <c r="R38" s="412"/>
      <c r="S38" s="6"/>
      <c r="T38" s="6"/>
      <c r="U38" s="6"/>
      <c r="V38" s="6"/>
      <c r="W38" s="6"/>
      <c r="X38" s="6"/>
      <c r="Y38" s="6"/>
      <c r="Z38" s="6"/>
      <c r="AA38" s="6"/>
    </row>
    <row r="39" spans="2:27" s="48" customFormat="1" ht="12.75" hidden="1" customHeight="1" x14ac:dyDescent="0.2">
      <c r="C39" s="411"/>
      <c r="D39" s="393"/>
      <c r="E39" s="412"/>
      <c r="F39" s="412"/>
      <c r="I39" s="411"/>
      <c r="K39" s="412"/>
      <c r="L39" s="412"/>
      <c r="O39" s="411"/>
      <c r="P39" s="393"/>
      <c r="Q39" s="412"/>
      <c r="R39" s="412"/>
      <c r="S39" s="6"/>
      <c r="T39" s="6"/>
      <c r="U39" s="6"/>
      <c r="V39" s="6"/>
      <c r="W39" s="6"/>
      <c r="X39" s="6"/>
      <c r="Y39" s="6"/>
      <c r="Z39" s="6"/>
      <c r="AA39" s="6"/>
    </row>
    <row r="40" spans="2:27" s="48" customFormat="1" ht="12.75" hidden="1" customHeight="1" thickBot="1" x14ac:dyDescent="0.25">
      <c r="B40" s="414" t="s">
        <v>122</v>
      </c>
      <c r="C40" s="415"/>
      <c r="D40" s="416"/>
      <c r="E40" s="417"/>
      <c r="F40" s="417"/>
      <c r="G40" s="415"/>
      <c r="H40" s="415"/>
      <c r="I40" s="418"/>
      <c r="J40" s="415"/>
      <c r="K40" s="415"/>
      <c r="L40" s="412"/>
      <c r="O40" s="411"/>
      <c r="P40" s="393"/>
      <c r="Q40" s="412"/>
      <c r="R40" s="412"/>
      <c r="S40" s="6"/>
      <c r="T40" s="6"/>
      <c r="U40" s="6"/>
      <c r="V40" s="6"/>
      <c r="W40" s="6"/>
      <c r="X40" s="6"/>
      <c r="Y40" s="6"/>
      <c r="Z40" s="6"/>
      <c r="AA40" s="6"/>
    </row>
    <row r="41" spans="2:27" s="48" customFormat="1" ht="12.75" hidden="1" customHeight="1" x14ac:dyDescent="0.2">
      <c r="B41" s="37">
        <v>1</v>
      </c>
      <c r="C41" s="38" t="str">
        <f>IF(D41="","",MID(D41,1,FIND(": ",D41,1)-1)&amp;K41)</f>
        <v/>
      </c>
      <c r="D41" s="38" t="str">
        <f t="shared" ref="D41:D53" si="0">IF(OR($F$3="",AND(E5="",F5="")),"",CONCATENATE($F$3,": ",IF(D5="","",D5&amp;", "),IF(E5="","xxxx",TEXT(E5,"# ##0,-")),", ",IF(F5="","xxxx",TEXT(F5,"# ##0,-"))))</f>
        <v/>
      </c>
      <c r="E41" s="419"/>
      <c r="F41" s="419"/>
      <c r="G41" s="38"/>
      <c r="H41" s="38"/>
      <c r="I41" s="420"/>
      <c r="J41" s="38"/>
      <c r="K41" s="38" t="str">
        <f t="shared" ref="K41:K53" si="1">IF(D5="","",MID(D5,1,5))</f>
        <v/>
      </c>
      <c r="L41" s="412"/>
      <c r="O41" s="411"/>
      <c r="P41" s="393"/>
      <c r="Q41" s="412"/>
      <c r="R41" s="412"/>
      <c r="S41" s="6"/>
      <c r="T41" s="6"/>
      <c r="U41" s="6"/>
      <c r="V41" s="6"/>
      <c r="W41" s="6"/>
      <c r="X41" s="6"/>
      <c r="Y41" s="6"/>
      <c r="Z41" s="6"/>
      <c r="AA41" s="6"/>
    </row>
    <row r="42" spans="2:27" s="48" customFormat="1" ht="12.75" hidden="1" customHeight="1" x14ac:dyDescent="0.2">
      <c r="B42" s="42">
        <v>2</v>
      </c>
      <c r="C42" s="38" t="str">
        <f t="shared" ref="C42:C103" si="2">IF(D42="","",MID(D42,1,FIND(": ",D42,1)-1)&amp;K42)</f>
        <v/>
      </c>
      <c r="D42" s="38" t="str">
        <f t="shared" si="0"/>
        <v/>
      </c>
      <c r="E42" s="421"/>
      <c r="F42" s="421"/>
      <c r="G42" s="43"/>
      <c r="H42" s="43"/>
      <c r="I42" s="422"/>
      <c r="J42" s="43"/>
      <c r="K42" s="38" t="str">
        <f t="shared" si="1"/>
        <v/>
      </c>
      <c r="L42" s="412"/>
      <c r="O42" s="411"/>
      <c r="P42" s="393"/>
      <c r="Q42" s="412"/>
      <c r="R42" s="412"/>
      <c r="S42" s="6"/>
      <c r="T42" s="6"/>
      <c r="U42" s="6"/>
      <c r="V42" s="6"/>
      <c r="W42" s="6"/>
      <c r="X42" s="6"/>
      <c r="Y42" s="6"/>
      <c r="Z42" s="6"/>
      <c r="AA42" s="6"/>
    </row>
    <row r="43" spans="2:27" s="48" customFormat="1" ht="12.75" hidden="1" customHeight="1" x14ac:dyDescent="0.2">
      <c r="B43" s="42">
        <v>3</v>
      </c>
      <c r="C43" s="38" t="str">
        <f t="shared" si="2"/>
        <v/>
      </c>
      <c r="D43" s="38" t="str">
        <f t="shared" si="0"/>
        <v/>
      </c>
      <c r="E43" s="421"/>
      <c r="F43" s="421"/>
      <c r="G43" s="43"/>
      <c r="H43" s="43"/>
      <c r="I43" s="422"/>
      <c r="J43" s="43"/>
      <c r="K43" s="38" t="str">
        <f t="shared" si="1"/>
        <v/>
      </c>
      <c r="L43" s="412"/>
      <c r="O43" s="411"/>
      <c r="P43" s="393"/>
      <c r="Q43" s="412"/>
      <c r="R43" s="412"/>
      <c r="S43" s="6"/>
      <c r="T43" s="6"/>
      <c r="U43" s="6"/>
      <c r="V43" s="6"/>
      <c r="W43" s="6"/>
      <c r="X43" s="6"/>
      <c r="Y43" s="6"/>
      <c r="Z43" s="6"/>
      <c r="AA43" s="6"/>
    </row>
    <row r="44" spans="2:27" s="48" customFormat="1" ht="12.75" hidden="1" customHeight="1" x14ac:dyDescent="0.2">
      <c r="B44" s="42">
        <v>4</v>
      </c>
      <c r="C44" s="38" t="str">
        <f t="shared" si="2"/>
        <v/>
      </c>
      <c r="D44" s="38" t="str">
        <f t="shared" si="0"/>
        <v/>
      </c>
      <c r="E44" s="421"/>
      <c r="F44" s="421"/>
      <c r="G44" s="43"/>
      <c r="H44" s="43"/>
      <c r="I44" s="422"/>
      <c r="J44" s="43"/>
      <c r="K44" s="38" t="str">
        <f t="shared" si="1"/>
        <v/>
      </c>
      <c r="L44" s="412"/>
      <c r="O44" s="411"/>
      <c r="P44" s="393"/>
      <c r="Q44" s="412"/>
      <c r="R44" s="412"/>
      <c r="S44" s="6"/>
      <c r="T44" s="6"/>
      <c r="U44" s="6"/>
      <c r="V44" s="6"/>
      <c r="W44" s="6"/>
      <c r="X44" s="6"/>
      <c r="Y44" s="6"/>
      <c r="Z44" s="6"/>
      <c r="AA44" s="6"/>
    </row>
    <row r="45" spans="2:27" s="48" customFormat="1" ht="12.75" hidden="1" customHeight="1" x14ac:dyDescent="0.2">
      <c r="B45" s="42">
        <v>5</v>
      </c>
      <c r="C45" s="38" t="str">
        <f t="shared" si="2"/>
        <v/>
      </c>
      <c r="D45" s="38" t="str">
        <f t="shared" si="0"/>
        <v/>
      </c>
      <c r="E45" s="421"/>
      <c r="F45" s="421"/>
      <c r="G45" s="43"/>
      <c r="H45" s="43"/>
      <c r="I45" s="422"/>
      <c r="J45" s="43"/>
      <c r="K45" s="38" t="str">
        <f t="shared" si="1"/>
        <v/>
      </c>
      <c r="L45" s="412"/>
      <c r="O45" s="411"/>
      <c r="P45" s="393"/>
      <c r="Q45" s="412"/>
      <c r="R45" s="412"/>
      <c r="S45" s="6"/>
      <c r="T45" s="6"/>
      <c r="U45" s="6"/>
      <c r="V45" s="6"/>
      <c r="W45" s="6"/>
      <c r="X45" s="6"/>
      <c r="Y45" s="6"/>
      <c r="Z45" s="6"/>
      <c r="AA45" s="6"/>
    </row>
    <row r="46" spans="2:27" s="48" customFormat="1" ht="12.75" hidden="1" customHeight="1" x14ac:dyDescent="0.2">
      <c r="B46" s="42">
        <v>6</v>
      </c>
      <c r="C46" s="38" t="str">
        <f t="shared" si="2"/>
        <v/>
      </c>
      <c r="D46" s="38" t="str">
        <f t="shared" si="0"/>
        <v/>
      </c>
      <c r="E46" s="421"/>
      <c r="F46" s="421"/>
      <c r="G46" s="43"/>
      <c r="H46" s="43"/>
      <c r="I46" s="422"/>
      <c r="J46" s="43"/>
      <c r="K46" s="38" t="str">
        <f t="shared" si="1"/>
        <v/>
      </c>
      <c r="L46" s="412"/>
      <c r="O46" s="411"/>
      <c r="P46" s="393"/>
      <c r="Q46" s="412"/>
      <c r="R46" s="412"/>
      <c r="S46" s="6"/>
      <c r="T46" s="6"/>
      <c r="U46" s="6"/>
      <c r="V46" s="6"/>
      <c r="W46" s="6"/>
      <c r="X46" s="6"/>
      <c r="Y46" s="6"/>
      <c r="Z46" s="6"/>
      <c r="AA46" s="6"/>
    </row>
    <row r="47" spans="2:27" s="48" customFormat="1" ht="12.75" hidden="1" customHeight="1" x14ac:dyDescent="0.2">
      <c r="B47" s="42">
        <v>7</v>
      </c>
      <c r="C47" s="38" t="str">
        <f t="shared" si="2"/>
        <v/>
      </c>
      <c r="D47" s="38" t="str">
        <f t="shared" si="0"/>
        <v/>
      </c>
      <c r="E47" s="421"/>
      <c r="F47" s="421"/>
      <c r="G47" s="43"/>
      <c r="H47" s="43"/>
      <c r="I47" s="422"/>
      <c r="J47" s="43"/>
      <c r="K47" s="38" t="str">
        <f t="shared" si="1"/>
        <v/>
      </c>
      <c r="L47" s="412"/>
      <c r="O47" s="411"/>
      <c r="P47" s="393"/>
      <c r="Q47" s="412"/>
      <c r="R47" s="412"/>
      <c r="S47" s="6"/>
      <c r="T47" s="6"/>
      <c r="U47" s="6"/>
      <c r="V47" s="6"/>
      <c r="W47" s="6"/>
      <c r="X47" s="6"/>
      <c r="Y47" s="6"/>
      <c r="Z47" s="6"/>
      <c r="AA47" s="6"/>
    </row>
    <row r="48" spans="2:27" s="48" customFormat="1" ht="12.75" hidden="1" customHeight="1" x14ac:dyDescent="0.2">
      <c r="B48" s="42">
        <v>8</v>
      </c>
      <c r="C48" s="38" t="str">
        <f t="shared" si="2"/>
        <v/>
      </c>
      <c r="D48" s="38" t="str">
        <f t="shared" si="0"/>
        <v/>
      </c>
      <c r="E48" s="421"/>
      <c r="F48" s="421"/>
      <c r="G48" s="43"/>
      <c r="H48" s="43"/>
      <c r="I48" s="422"/>
      <c r="J48" s="43"/>
      <c r="K48" s="38" t="str">
        <f t="shared" si="1"/>
        <v/>
      </c>
      <c r="L48" s="412"/>
      <c r="O48" s="411"/>
      <c r="P48" s="393"/>
      <c r="Q48" s="412"/>
      <c r="R48" s="412"/>
      <c r="S48" s="6"/>
      <c r="T48" s="6"/>
      <c r="U48" s="6"/>
      <c r="V48" s="6"/>
      <c r="W48" s="6"/>
      <c r="X48" s="6"/>
      <c r="Y48" s="6"/>
      <c r="Z48" s="6"/>
      <c r="AA48" s="6"/>
    </row>
    <row r="49" spans="2:27" s="48" customFormat="1" ht="12.75" hidden="1" customHeight="1" x14ac:dyDescent="0.2">
      <c r="B49" s="42">
        <v>9</v>
      </c>
      <c r="C49" s="38" t="str">
        <f t="shared" si="2"/>
        <v/>
      </c>
      <c r="D49" s="38" t="str">
        <f t="shared" si="0"/>
        <v/>
      </c>
      <c r="E49" s="421"/>
      <c r="F49" s="421"/>
      <c r="G49" s="43"/>
      <c r="H49" s="43"/>
      <c r="I49" s="422"/>
      <c r="J49" s="43"/>
      <c r="K49" s="38" t="str">
        <f t="shared" si="1"/>
        <v/>
      </c>
      <c r="L49" s="412"/>
      <c r="O49" s="411"/>
      <c r="P49" s="393"/>
      <c r="Q49" s="412"/>
      <c r="R49" s="412"/>
      <c r="S49" s="6"/>
      <c r="T49" s="6"/>
      <c r="U49" s="6"/>
      <c r="V49" s="6"/>
      <c r="W49" s="6"/>
      <c r="X49" s="6"/>
      <c r="Y49" s="6"/>
      <c r="Z49" s="6"/>
      <c r="AA49" s="6"/>
    </row>
    <row r="50" spans="2:27" s="48" customFormat="1" ht="12.75" hidden="1" customHeight="1" x14ac:dyDescent="0.2">
      <c r="B50" s="42">
        <v>10</v>
      </c>
      <c r="C50" s="38" t="str">
        <f t="shared" si="2"/>
        <v/>
      </c>
      <c r="D50" s="38" t="str">
        <f t="shared" si="0"/>
        <v/>
      </c>
      <c r="E50" s="421"/>
      <c r="F50" s="421"/>
      <c r="G50" s="43"/>
      <c r="H50" s="43"/>
      <c r="I50" s="422"/>
      <c r="J50" s="43"/>
      <c r="K50" s="38" t="str">
        <f t="shared" si="1"/>
        <v/>
      </c>
      <c r="L50" s="412"/>
      <c r="O50" s="411"/>
      <c r="P50" s="393"/>
      <c r="Q50" s="412"/>
      <c r="R50" s="412"/>
      <c r="S50" s="6"/>
      <c r="T50" s="6"/>
      <c r="U50" s="6"/>
      <c r="V50" s="6"/>
      <c r="W50" s="6"/>
      <c r="X50" s="6"/>
      <c r="Y50" s="6"/>
      <c r="Z50" s="6"/>
      <c r="AA50" s="6"/>
    </row>
    <row r="51" spans="2:27" s="48" customFormat="1" ht="12.75" hidden="1" customHeight="1" x14ac:dyDescent="0.2">
      <c r="B51" s="42">
        <v>11</v>
      </c>
      <c r="C51" s="38" t="str">
        <f t="shared" si="2"/>
        <v/>
      </c>
      <c r="D51" s="38" t="str">
        <f t="shared" si="0"/>
        <v/>
      </c>
      <c r="E51" s="421"/>
      <c r="F51" s="421"/>
      <c r="G51" s="43"/>
      <c r="H51" s="43"/>
      <c r="I51" s="422"/>
      <c r="J51" s="43"/>
      <c r="K51" s="38" t="str">
        <f t="shared" si="1"/>
        <v/>
      </c>
      <c r="L51" s="412"/>
      <c r="O51" s="411"/>
      <c r="P51" s="393"/>
      <c r="Q51" s="412"/>
      <c r="R51" s="412"/>
      <c r="S51" s="6"/>
      <c r="T51" s="6"/>
      <c r="U51" s="6"/>
      <c r="V51" s="6"/>
      <c r="W51" s="6"/>
      <c r="X51" s="6"/>
      <c r="Y51" s="6"/>
      <c r="Z51" s="6"/>
      <c r="AA51" s="6"/>
    </row>
    <row r="52" spans="2:27" s="48" customFormat="1" ht="12.75" hidden="1" customHeight="1" x14ac:dyDescent="0.2">
      <c r="B52" s="42">
        <v>12</v>
      </c>
      <c r="C52" s="38" t="str">
        <f t="shared" si="2"/>
        <v/>
      </c>
      <c r="D52" s="38" t="str">
        <f t="shared" si="0"/>
        <v/>
      </c>
      <c r="E52" s="421"/>
      <c r="F52" s="421"/>
      <c r="G52" s="43"/>
      <c r="H52" s="43"/>
      <c r="I52" s="422"/>
      <c r="J52" s="43"/>
      <c r="K52" s="38" t="str">
        <f t="shared" si="1"/>
        <v>SALDO</v>
      </c>
      <c r="L52" s="412"/>
      <c r="O52" s="411"/>
      <c r="P52" s="393"/>
      <c r="Q52" s="412"/>
      <c r="R52" s="412"/>
      <c r="S52" s="6"/>
      <c r="T52" s="6"/>
      <c r="U52" s="6"/>
      <c r="V52" s="6"/>
      <c r="W52" s="6"/>
      <c r="X52" s="6"/>
      <c r="Y52" s="6"/>
      <c r="Z52" s="6"/>
      <c r="AA52" s="6"/>
    </row>
    <row r="53" spans="2:27" s="48" customFormat="1" ht="12.75" hidden="1" customHeight="1" x14ac:dyDescent="0.2">
      <c r="B53" s="42">
        <v>13</v>
      </c>
      <c r="C53" s="38" t="str">
        <f t="shared" si="2"/>
        <v/>
      </c>
      <c r="D53" s="38" t="str">
        <f t="shared" si="0"/>
        <v/>
      </c>
      <c r="E53" s="421"/>
      <c r="F53" s="421"/>
      <c r="G53" s="43"/>
      <c r="H53" s="43"/>
      <c r="I53" s="422"/>
      <c r="J53" s="43"/>
      <c r="K53" s="38" t="str">
        <f t="shared" si="1"/>
        <v>Summe</v>
      </c>
      <c r="L53" s="412"/>
      <c r="O53" s="411"/>
      <c r="P53" s="393"/>
      <c r="Q53" s="412"/>
      <c r="R53" s="412"/>
      <c r="S53" s="6"/>
      <c r="T53" s="6"/>
      <c r="U53" s="6"/>
      <c r="V53" s="6"/>
      <c r="W53" s="6"/>
      <c r="X53" s="6"/>
      <c r="Y53" s="6"/>
      <c r="Z53" s="6"/>
      <c r="AA53" s="6"/>
    </row>
    <row r="54" spans="2:27" s="48" customFormat="1" ht="12.75" hidden="1" customHeight="1" x14ac:dyDescent="0.2">
      <c r="B54" s="42">
        <v>14</v>
      </c>
      <c r="C54" s="38" t="str">
        <f t="shared" si="2"/>
        <v/>
      </c>
      <c r="D54" s="43" t="str">
        <f>IF(OR($L$3="",AND(K5="",L5="")),"",CONCATENATE($L$3,": ",IF(J5="","",J5&amp;", "),IF(K5="","xxxx",TEXT(K5,"# ##0,-")),", ",IF(L5="","xxxx",TEXT(L5,"# ##0,-"))))</f>
        <v/>
      </c>
      <c r="E54" s="421"/>
      <c r="F54" s="421"/>
      <c r="G54" s="43"/>
      <c r="H54" s="43"/>
      <c r="I54" s="422"/>
      <c r="J54" s="43"/>
      <c r="K54" s="38" t="str">
        <f>IF(J5="","",MID(J5,1,5))</f>
        <v/>
      </c>
      <c r="L54" s="412"/>
      <c r="O54" s="411"/>
      <c r="P54" s="393"/>
      <c r="Q54" s="412"/>
      <c r="R54" s="412"/>
      <c r="S54" s="6"/>
      <c r="T54" s="6"/>
      <c r="U54" s="6"/>
      <c r="V54" s="6"/>
      <c r="W54" s="6"/>
      <c r="X54" s="6"/>
      <c r="Y54" s="6"/>
      <c r="Z54" s="6"/>
      <c r="AA54" s="6"/>
    </row>
    <row r="55" spans="2:27" s="48" customFormat="1" ht="12.75" hidden="1" customHeight="1" x14ac:dyDescent="0.2">
      <c r="B55" s="42">
        <v>15</v>
      </c>
      <c r="C55" s="38" t="str">
        <f t="shared" si="2"/>
        <v/>
      </c>
      <c r="D55" s="43" t="str">
        <f>IF(OR($L$3="",AND(K6="",L6="")),"",CONCATENATE($L$3,": ",IF(J6="","",J6&amp;", "),IF(K6="","xxxx",TEXT(K6,"# ##0,-")),", ",IF(L6="","xxxx",TEXT(L6,"# ##0,-"))))</f>
        <v/>
      </c>
      <c r="E55" s="421"/>
      <c r="F55" s="421"/>
      <c r="G55" s="43"/>
      <c r="H55" s="43"/>
      <c r="I55" s="422"/>
      <c r="J55" s="43"/>
      <c r="K55" s="38" t="str">
        <f>IF(J6="","",MID(J6,1,5))</f>
        <v/>
      </c>
      <c r="L55" s="412"/>
      <c r="O55" s="411"/>
      <c r="P55" s="393"/>
      <c r="Q55" s="412"/>
      <c r="R55" s="412"/>
      <c r="S55" s="6"/>
      <c r="T55" s="6"/>
      <c r="U55" s="6"/>
      <c r="V55" s="6"/>
      <c r="W55" s="6"/>
      <c r="X55" s="6"/>
      <c r="Y55" s="6"/>
      <c r="Z55" s="6"/>
      <c r="AA55" s="6"/>
    </row>
    <row r="56" spans="2:27" s="48" customFormat="1" ht="12.75" hidden="1" customHeight="1" x14ac:dyDescent="0.2">
      <c r="B56" s="42">
        <v>16</v>
      </c>
      <c r="C56" s="38" t="str">
        <f t="shared" si="2"/>
        <v/>
      </c>
      <c r="D56" s="43" t="str">
        <f>IF(OR($L$3="",AND(K7="",L7="")),"",CONCATENATE($L$3,": ",IF(J7="","",J7&amp;", "),IF(K7="","xxxx",TEXT(K7,"# ##0,-")),", ",IF(L7="","xxxx",TEXT(L7,"# ##0,-"))))</f>
        <v/>
      </c>
      <c r="E56" s="421"/>
      <c r="F56" s="421"/>
      <c r="G56" s="43"/>
      <c r="H56" s="43"/>
      <c r="I56" s="422"/>
      <c r="J56" s="43"/>
      <c r="K56" s="38" t="str">
        <f>IF(J7="","",MID(J7,1,5))</f>
        <v/>
      </c>
      <c r="L56" s="412"/>
      <c r="O56" s="411"/>
      <c r="P56" s="393"/>
      <c r="Q56" s="412"/>
      <c r="R56" s="412"/>
      <c r="S56" s="6"/>
      <c r="T56" s="6"/>
      <c r="U56" s="6"/>
      <c r="V56" s="6"/>
      <c r="W56" s="6"/>
      <c r="X56" s="6"/>
      <c r="Y56" s="6"/>
      <c r="Z56" s="6"/>
      <c r="AA56" s="6"/>
    </row>
    <row r="57" spans="2:27" s="48" customFormat="1" ht="12.75" hidden="1" customHeight="1" x14ac:dyDescent="0.2">
      <c r="B57" s="42">
        <v>17</v>
      </c>
      <c r="C57" s="38" t="str">
        <f t="shared" si="2"/>
        <v/>
      </c>
      <c r="D57" s="43" t="str">
        <f>IF(OR($L$3="",AND(K8="",L8="")),"",CONCATENATE($L$3,": ",IF(J8="","",J8&amp;", "),IF(K8="","xxxx",TEXT(K8,"# ##0,-")),", ",IF(L8="","xxxx",TEXT(L8,"# ##0,-"))))</f>
        <v/>
      </c>
      <c r="E57" s="421"/>
      <c r="F57" s="421"/>
      <c r="G57" s="43"/>
      <c r="H57" s="43"/>
      <c r="I57" s="422"/>
      <c r="J57" s="43"/>
      <c r="K57" s="38" t="str">
        <f>IF(J8="","",MID(J8,1,5))</f>
        <v>SALDO</v>
      </c>
      <c r="L57" s="412"/>
      <c r="O57" s="411"/>
      <c r="P57" s="393"/>
      <c r="Q57" s="412"/>
      <c r="R57" s="412"/>
      <c r="S57" s="6"/>
      <c r="T57" s="6"/>
      <c r="U57" s="6"/>
      <c r="V57" s="6"/>
      <c r="W57" s="6"/>
      <c r="X57" s="6"/>
      <c r="Y57" s="6"/>
      <c r="Z57" s="6"/>
      <c r="AA57" s="6"/>
    </row>
    <row r="58" spans="2:27" s="48" customFormat="1" ht="12.75" hidden="1" customHeight="1" x14ac:dyDescent="0.2">
      <c r="B58" s="42">
        <v>18</v>
      </c>
      <c r="C58" s="38" t="str">
        <f t="shared" si="2"/>
        <v/>
      </c>
      <c r="D58" s="43" t="str">
        <f>IF(OR($L$3="",AND(K9="",L9="")),"",CONCATENATE($L$3,": ",IF(J9="","",J9&amp;", "),IF(K9="","xxxx",TEXT(K9,"# ##0,-")),", ",IF(L9="","xxxx",TEXT(L9,"# ##0,-"))))</f>
        <v/>
      </c>
      <c r="E58" s="421"/>
      <c r="F58" s="421"/>
      <c r="G58" s="43"/>
      <c r="H58" s="43"/>
      <c r="I58" s="422"/>
      <c r="J58" s="43"/>
      <c r="K58" s="38" t="str">
        <f>IF(J9="","",MID(J9,1,5))</f>
        <v>Summe</v>
      </c>
      <c r="L58" s="412"/>
      <c r="O58" s="411"/>
      <c r="P58" s="393"/>
      <c r="Q58" s="412"/>
      <c r="R58" s="412"/>
      <c r="S58" s="6"/>
      <c r="T58" s="6"/>
      <c r="U58" s="6"/>
      <c r="V58" s="6"/>
      <c r="W58" s="6"/>
      <c r="X58" s="6"/>
      <c r="Y58" s="6"/>
      <c r="Z58" s="6"/>
      <c r="AA58" s="6"/>
    </row>
    <row r="59" spans="2:27" s="48" customFormat="1" ht="12.75" hidden="1" customHeight="1" x14ac:dyDescent="0.2">
      <c r="B59" s="42">
        <v>19</v>
      </c>
      <c r="C59" s="38" t="str">
        <f t="shared" si="2"/>
        <v/>
      </c>
      <c r="D59" s="43" t="str">
        <f>IF(OR($R$3="",AND(Q5="",R5="")),"",CONCATENATE($R$3,": ",IF(N5="","",N5&amp;", "),IF(O5="","",O5&amp;", "),IF(P5="","",P5&amp;", "),IF(Q5="","xxxx",TEXT(Q5,"# ##0,-")),", ",IF(R5="","xxxx",TEXT(R5,"# ##0,-"))))</f>
        <v/>
      </c>
      <c r="E59" s="421"/>
      <c r="F59" s="421"/>
      <c r="G59" s="43"/>
      <c r="H59" s="43"/>
      <c r="I59" s="422"/>
      <c r="J59" s="43"/>
      <c r="K59" s="38" t="str">
        <f>IF(P5="","",MID(P5,1,5))</f>
        <v/>
      </c>
      <c r="L59" s="412"/>
      <c r="O59" s="411"/>
      <c r="P59" s="393"/>
      <c r="Q59" s="412"/>
      <c r="R59" s="412"/>
      <c r="S59" s="6"/>
      <c r="T59" s="6"/>
      <c r="U59" s="6"/>
      <c r="V59" s="6"/>
      <c r="W59" s="6"/>
      <c r="X59" s="6"/>
      <c r="Y59" s="6"/>
      <c r="Z59" s="6"/>
      <c r="AA59" s="6"/>
    </row>
    <row r="60" spans="2:27" s="48" customFormat="1" ht="12.75" hidden="1" customHeight="1" x14ac:dyDescent="0.2">
      <c r="B60" s="42">
        <v>20</v>
      </c>
      <c r="C60" s="38" t="str">
        <f t="shared" si="2"/>
        <v/>
      </c>
      <c r="D60" s="43" t="str">
        <f>IF(OR($R$3="",AND(Q6="",R6="")),"",CONCATENATE($R$3,": ",IF(N6="","",N6&amp;", "),IF(O6="","",O6&amp;", "),IF(P6="","",P6&amp;", "),IF(Q6="","xxxx",TEXT(Q6,"# ##0,-")),", ",IF(R6="","xxxx",TEXT(R6,"# ##0,-"))))</f>
        <v/>
      </c>
      <c r="E60" s="421"/>
      <c r="F60" s="421"/>
      <c r="G60" s="43"/>
      <c r="H60" s="43"/>
      <c r="I60" s="422"/>
      <c r="J60" s="43"/>
      <c r="K60" s="38" t="str">
        <f>IF(P6="","",MID(P6,1,5))</f>
        <v/>
      </c>
      <c r="L60" s="412"/>
      <c r="O60" s="411"/>
      <c r="P60" s="393"/>
      <c r="Q60" s="412"/>
      <c r="R60" s="412"/>
      <c r="S60" s="6"/>
      <c r="T60" s="6"/>
      <c r="U60" s="6"/>
      <c r="V60" s="6"/>
      <c r="W60" s="6"/>
      <c r="X60" s="6"/>
      <c r="Y60" s="6"/>
      <c r="Z60" s="6"/>
      <c r="AA60" s="6"/>
    </row>
    <row r="61" spans="2:27" s="48" customFormat="1" ht="12.75" hidden="1" customHeight="1" x14ac:dyDescent="0.2">
      <c r="B61" s="42">
        <v>21</v>
      </c>
      <c r="C61" s="38" t="str">
        <f t="shared" si="2"/>
        <v/>
      </c>
      <c r="D61" s="43" t="str">
        <f>IF(OR($R$3="",AND(Q7="",R7="")),"",CONCATENATE($R$3,": ",IF(N7="","",N7&amp;", "),IF(O7="","",O7&amp;", "),IF(P7="","",P7&amp;", "),IF(Q7="","xxxx",TEXT(Q7,"# ##0,-")),", ",IF(R7="","xxxx",TEXT(R7,"# ##0,-"))))</f>
        <v/>
      </c>
      <c r="E61" s="421"/>
      <c r="F61" s="421"/>
      <c r="G61" s="43"/>
      <c r="H61" s="43"/>
      <c r="I61" s="422"/>
      <c r="J61" s="43"/>
      <c r="K61" s="38" t="str">
        <f>IF(P7="","",MID(P7,1,5))</f>
        <v/>
      </c>
      <c r="L61" s="412"/>
      <c r="O61" s="411"/>
      <c r="P61" s="393"/>
      <c r="Q61" s="412"/>
      <c r="R61" s="412"/>
      <c r="S61" s="6"/>
      <c r="T61" s="6"/>
      <c r="U61" s="6"/>
      <c r="V61" s="6"/>
      <c r="W61" s="6"/>
      <c r="X61" s="6"/>
      <c r="Y61" s="6"/>
      <c r="Z61" s="6"/>
      <c r="AA61" s="6"/>
    </row>
    <row r="62" spans="2:27" s="48" customFormat="1" ht="12.75" hidden="1" customHeight="1" x14ac:dyDescent="0.2">
      <c r="B62" s="42">
        <v>22</v>
      </c>
      <c r="C62" s="38" t="str">
        <f t="shared" si="2"/>
        <v/>
      </c>
      <c r="D62" s="43" t="str">
        <f>IF(OR($R$3="",AND(Q8="",R8="")),"",CONCATENATE($R$3,": ",IF(N8="","",N8&amp;", "),IF(O8="","",O8&amp;", "),IF(P8="","",P8&amp;", "),IF(Q8="","xxxx",TEXT(Q8,"# ##0,-")),", ",IF(R8="","xxxx",TEXT(R8,"# ##0,-"))))</f>
        <v/>
      </c>
      <c r="E62" s="421"/>
      <c r="F62" s="421"/>
      <c r="G62" s="43"/>
      <c r="H62" s="43"/>
      <c r="I62" s="422"/>
      <c r="J62" s="43"/>
      <c r="K62" s="38" t="str">
        <f>IF(P8="","",MID(P8,1,5))</f>
        <v>SALDO</v>
      </c>
      <c r="L62" s="412"/>
      <c r="O62" s="411"/>
      <c r="P62" s="393"/>
      <c r="Q62" s="412"/>
      <c r="R62" s="412"/>
      <c r="S62" s="6"/>
      <c r="T62" s="6"/>
      <c r="U62" s="6"/>
      <c r="V62" s="6"/>
      <c r="W62" s="6"/>
      <c r="X62" s="6"/>
      <c r="Y62" s="6"/>
      <c r="Z62" s="6"/>
      <c r="AA62" s="6"/>
    </row>
    <row r="63" spans="2:27" s="48" customFormat="1" ht="12.75" hidden="1" customHeight="1" x14ac:dyDescent="0.2">
      <c r="B63" s="42">
        <v>23</v>
      </c>
      <c r="C63" s="38" t="str">
        <f t="shared" si="2"/>
        <v/>
      </c>
      <c r="D63" s="43" t="str">
        <f>IF(OR($R$3="",AND(Q9="",R9="")),"",CONCATENATE($R$3,": ",IF(N9="","",N9&amp;", "),IF(O9="","",O9&amp;", "),IF(P9="","",P9&amp;", "),IF(Q9="","xxxx",TEXT(Q9,"# ##0,-")),", ",IF(R9="","xxxx",TEXT(R9,"# ##0,-"))))</f>
        <v/>
      </c>
      <c r="E63" s="421"/>
      <c r="F63" s="421"/>
      <c r="G63" s="43"/>
      <c r="H63" s="43"/>
      <c r="I63" s="422"/>
      <c r="J63" s="43"/>
      <c r="K63" s="38" t="str">
        <f>IF(P9="","",MID(P9,1,5))</f>
        <v>Summe</v>
      </c>
      <c r="L63" s="412"/>
      <c r="O63" s="411"/>
      <c r="P63" s="393"/>
      <c r="Q63" s="412"/>
      <c r="R63" s="412"/>
      <c r="S63" s="6"/>
      <c r="T63" s="6"/>
      <c r="U63" s="6"/>
      <c r="V63" s="6"/>
      <c r="W63" s="6"/>
      <c r="X63" s="6"/>
      <c r="Y63" s="6"/>
      <c r="Z63" s="6"/>
      <c r="AA63" s="6"/>
    </row>
    <row r="64" spans="2:27" s="48" customFormat="1" ht="12.75" hidden="1" customHeight="1" x14ac:dyDescent="0.2">
      <c r="B64" s="42">
        <v>24</v>
      </c>
      <c r="C64" s="38" t="str">
        <f t="shared" si="2"/>
        <v/>
      </c>
      <c r="D64" s="43" t="str">
        <f>IF(OR($L$11="",AND(K13="",L13="")),"",CONCATENATE($L$11,": ",IF(H13="","",H13&amp;", "),IF(I13="","",I13&amp;", "),IF(J13="","",J13&amp;", "),IF(K13="","xxxx",TEXT(K13,"# ##0,-")),", ",IF(L13="","xxxx",TEXT(L13,"# ##0,-"))))</f>
        <v/>
      </c>
      <c r="E64" s="421"/>
      <c r="F64" s="421"/>
      <c r="G64" s="43"/>
      <c r="H64" s="43"/>
      <c r="I64" s="422"/>
      <c r="J64" s="43"/>
      <c r="K64" s="38" t="str">
        <f>IF(J13="","",MID(J13,1,5))</f>
        <v/>
      </c>
      <c r="L64" s="412"/>
      <c r="O64" s="411"/>
      <c r="P64" s="393"/>
      <c r="Q64" s="412"/>
      <c r="R64" s="412"/>
      <c r="S64" s="6"/>
      <c r="T64" s="6"/>
      <c r="U64" s="6"/>
      <c r="V64" s="6"/>
      <c r="W64" s="6"/>
      <c r="X64" s="6"/>
      <c r="Y64" s="6"/>
      <c r="Z64" s="6"/>
      <c r="AA64" s="6"/>
    </row>
    <row r="65" spans="2:27" s="48" customFormat="1" ht="12.75" hidden="1" customHeight="1" x14ac:dyDescent="0.2">
      <c r="B65" s="42">
        <v>25</v>
      </c>
      <c r="C65" s="38" t="str">
        <f t="shared" si="2"/>
        <v/>
      </c>
      <c r="D65" s="43" t="str">
        <f>IF(OR($L$11="",AND(K14="",L14="")),"",CONCATENATE($L$11,": ",IF(H14="","",H14&amp;", "),IF(I14="","",I14&amp;", "),IF(J14="","",J14&amp;", "),IF(K14="","xxxx",TEXT(K14,"# ##0,-")),", ",IF(L14="","xxxx",TEXT(L14,"# ##0,-"))))</f>
        <v/>
      </c>
      <c r="E65" s="421"/>
      <c r="F65" s="421"/>
      <c r="G65" s="43"/>
      <c r="H65" s="43"/>
      <c r="I65" s="422"/>
      <c r="J65" s="43"/>
      <c r="K65" s="38" t="str">
        <f>IF(J14="","",MID(J14,1,5))</f>
        <v/>
      </c>
      <c r="L65" s="412"/>
      <c r="O65" s="411"/>
      <c r="P65" s="393"/>
      <c r="Q65" s="412"/>
      <c r="R65" s="412"/>
      <c r="S65" s="6"/>
      <c r="T65" s="6"/>
      <c r="U65" s="6"/>
      <c r="V65" s="6"/>
      <c r="W65" s="6"/>
      <c r="X65" s="6"/>
      <c r="Y65" s="6"/>
      <c r="Z65" s="6"/>
      <c r="AA65" s="6"/>
    </row>
    <row r="66" spans="2:27" s="48" customFormat="1" ht="12.75" hidden="1" customHeight="1" x14ac:dyDescent="0.2">
      <c r="B66" s="42">
        <v>26</v>
      </c>
      <c r="C66" s="38" t="str">
        <f t="shared" si="2"/>
        <v/>
      </c>
      <c r="D66" s="43" t="str">
        <f>IF(OR($L$11="",AND(K15="",L15="")),"",CONCATENATE($L$11,": ",IF(H15="","",H15&amp;", "),IF(I15="","",I15&amp;", "),IF(J15="","",J15&amp;", "),IF(K15="","xxxx",TEXT(K15,"# ##0,-")),", ",IF(L15="","xxxx",TEXT(L15,"# ##0,-"))))</f>
        <v/>
      </c>
      <c r="E66" s="421"/>
      <c r="F66" s="421"/>
      <c r="G66" s="43"/>
      <c r="H66" s="43"/>
      <c r="I66" s="422"/>
      <c r="J66" s="43"/>
      <c r="K66" s="38" t="str">
        <f>IF(J15="","",MID(J15,1,5))</f>
        <v/>
      </c>
      <c r="L66" s="412"/>
      <c r="O66" s="411"/>
      <c r="P66" s="393"/>
      <c r="Q66" s="412"/>
      <c r="R66" s="412"/>
      <c r="S66" s="6"/>
      <c r="T66" s="6"/>
      <c r="U66" s="6"/>
      <c r="V66" s="6"/>
      <c r="W66" s="6"/>
      <c r="X66" s="6"/>
      <c r="Y66" s="6"/>
      <c r="Z66" s="6"/>
      <c r="AA66" s="6"/>
    </row>
    <row r="67" spans="2:27" s="48" customFormat="1" ht="12.75" hidden="1" customHeight="1" x14ac:dyDescent="0.2">
      <c r="B67" s="42">
        <v>27</v>
      </c>
      <c r="C67" s="38" t="str">
        <f t="shared" si="2"/>
        <v/>
      </c>
      <c r="D67" s="43" t="str">
        <f>IF(OR($L$11="",AND(K16="",L16="")),"",CONCATENATE($L$11,": ",IF(H16="","",H16&amp;", "),IF(I16="","",I16&amp;", "),IF(J16="","",J16&amp;", "),IF(K16="","xxxx",TEXT(K16,"# ##0,-")),", ",IF(L16="","xxxx",TEXT(L16,"# ##0,-"))))</f>
        <v/>
      </c>
      <c r="E67" s="421"/>
      <c r="F67" s="421"/>
      <c r="G67" s="43"/>
      <c r="H67" s="43"/>
      <c r="I67" s="422"/>
      <c r="J67" s="43"/>
      <c r="K67" s="38" t="str">
        <f>IF(J16="","",MID(J16,1,5))</f>
        <v>SALDO</v>
      </c>
      <c r="L67" s="412"/>
      <c r="O67" s="411"/>
      <c r="P67" s="393"/>
      <c r="Q67" s="412"/>
      <c r="R67" s="412"/>
      <c r="S67" s="6"/>
      <c r="T67" s="6"/>
      <c r="U67" s="6"/>
      <c r="V67" s="6"/>
      <c r="W67" s="6"/>
      <c r="X67" s="6"/>
      <c r="Y67" s="6"/>
      <c r="Z67" s="6"/>
      <c r="AA67" s="6"/>
    </row>
    <row r="68" spans="2:27" s="48" customFormat="1" ht="12.75" hidden="1" customHeight="1" x14ac:dyDescent="0.2">
      <c r="B68" s="42">
        <v>28</v>
      </c>
      <c r="C68" s="38" t="str">
        <f t="shared" si="2"/>
        <v/>
      </c>
      <c r="D68" s="43" t="str">
        <f>IF(OR($L$11="",AND(K17="",L17="")),"",CONCATENATE($L$11,": ",IF(H17="","",H17&amp;", "),IF(I17="","",I17&amp;", "),IF(J17="","",J17&amp;", "),IF(K17="","xxxx",TEXT(K17,"# ##0,-")),", ",IF(L17="","xxxx",TEXT(L17,"# ##0,-"))))</f>
        <v/>
      </c>
      <c r="E68" s="421"/>
      <c r="F68" s="421"/>
      <c r="G68" s="43"/>
      <c r="H68" s="43"/>
      <c r="I68" s="422"/>
      <c r="J68" s="43"/>
      <c r="K68" s="38" t="str">
        <f>IF(J17="","",MID(J17,1,5))</f>
        <v>Summe</v>
      </c>
      <c r="L68" s="412"/>
      <c r="O68" s="411"/>
      <c r="P68" s="393"/>
      <c r="Q68" s="412"/>
      <c r="R68" s="412"/>
      <c r="S68" s="6"/>
      <c r="T68" s="6"/>
      <c r="U68" s="6"/>
      <c r="V68" s="6"/>
      <c r="W68" s="6"/>
      <c r="X68" s="6"/>
      <c r="Y68" s="6"/>
      <c r="Z68" s="6"/>
      <c r="AA68" s="6"/>
    </row>
    <row r="69" spans="2:27" s="48" customFormat="1" ht="12.75" hidden="1" customHeight="1" x14ac:dyDescent="0.2">
      <c r="B69" s="42">
        <v>29</v>
      </c>
      <c r="C69" s="38" t="str">
        <f t="shared" si="2"/>
        <v/>
      </c>
      <c r="D69" s="43" t="str">
        <f>IF(OR($R$11="",AND(Q13="",R13="")),"",CONCATENATE($R$11,": ",IF(N13="","",N13&amp;", "),IF(O13="","",O13&amp;", "),IF(P13="","",P13&amp;", "),IF(Q13="","xxxx",TEXT(Q13,"# ##0,-")),", ",IF(R13="","xxxx",TEXT(R13,"# ##0,-"))))</f>
        <v/>
      </c>
      <c r="E69" s="421"/>
      <c r="F69" s="421"/>
      <c r="G69" s="43"/>
      <c r="H69" s="43"/>
      <c r="I69" s="422"/>
      <c r="J69" s="43"/>
      <c r="K69" s="38" t="str">
        <f>IF(P13="","",MID(P13,1,5))</f>
        <v/>
      </c>
      <c r="L69" s="412"/>
      <c r="O69" s="411"/>
      <c r="P69" s="393"/>
      <c r="Q69" s="412"/>
      <c r="R69" s="412"/>
      <c r="S69" s="6"/>
      <c r="T69" s="6"/>
      <c r="U69" s="6"/>
      <c r="V69" s="6"/>
      <c r="W69" s="6"/>
      <c r="X69" s="6"/>
      <c r="Y69" s="6"/>
      <c r="Z69" s="6"/>
      <c r="AA69" s="6"/>
    </row>
    <row r="70" spans="2:27" s="48" customFormat="1" ht="12.75" hidden="1" customHeight="1" x14ac:dyDescent="0.2">
      <c r="B70" s="42">
        <v>30</v>
      </c>
      <c r="C70" s="38" t="str">
        <f t="shared" si="2"/>
        <v/>
      </c>
      <c r="D70" s="43" t="str">
        <f>IF(OR($R$11="",AND(Q14="",R14="")),"",CONCATENATE($R$11,": ",IF(N14="","",N14&amp;", "),IF(O14="","",O14&amp;", "),IF(P14="","",P14&amp;", "),IF(Q14="","xxxx",TEXT(Q14,"# ##0,-")),", ",IF(R14="","xxxx",TEXT(R14,"# ##0,-"))))</f>
        <v/>
      </c>
      <c r="E70" s="421"/>
      <c r="F70" s="421"/>
      <c r="G70" s="43"/>
      <c r="H70" s="43"/>
      <c r="I70" s="422"/>
      <c r="J70" s="43"/>
      <c r="K70" s="38" t="str">
        <f>IF(P14="","",MID(P14,1,5))</f>
        <v/>
      </c>
      <c r="L70" s="412"/>
      <c r="O70" s="411"/>
      <c r="P70" s="393"/>
      <c r="Q70" s="412"/>
      <c r="R70" s="412"/>
      <c r="S70" s="6"/>
      <c r="T70" s="6"/>
      <c r="U70" s="6"/>
      <c r="V70" s="6"/>
      <c r="W70" s="6"/>
      <c r="X70" s="6"/>
      <c r="Y70" s="6"/>
      <c r="Z70" s="6"/>
      <c r="AA70" s="6"/>
    </row>
    <row r="71" spans="2:27" s="48" customFormat="1" ht="12.75" hidden="1" customHeight="1" x14ac:dyDescent="0.2">
      <c r="B71" s="42">
        <v>31</v>
      </c>
      <c r="C71" s="38" t="str">
        <f t="shared" si="2"/>
        <v/>
      </c>
      <c r="D71" s="43" t="str">
        <f>IF(OR($R$11="",AND(Q15="",R15="")),"",CONCATENATE($R$11,": ",IF(N15="","",N15&amp;", "),IF(O15="","",O15&amp;", "),IF(P15="","",P15&amp;", "),IF(Q15="","xxxx",TEXT(Q15,"# ##0,-")),", ",IF(R15="","xxxx",TEXT(R15,"# ##0,-"))))</f>
        <v/>
      </c>
      <c r="E71" s="421"/>
      <c r="F71" s="421"/>
      <c r="G71" s="43"/>
      <c r="H71" s="43"/>
      <c r="I71" s="422"/>
      <c r="J71" s="43"/>
      <c r="K71" s="38" t="str">
        <f>IF(P15="","",MID(P15,1,5))</f>
        <v/>
      </c>
      <c r="L71" s="412"/>
      <c r="O71" s="411"/>
      <c r="P71" s="393"/>
      <c r="Q71" s="412"/>
      <c r="R71" s="412"/>
      <c r="S71" s="6"/>
      <c r="T71" s="6"/>
      <c r="U71" s="6"/>
      <c r="V71" s="6"/>
      <c r="W71" s="6"/>
      <c r="X71" s="6"/>
      <c r="Y71" s="6"/>
      <c r="Z71" s="6"/>
      <c r="AA71" s="6"/>
    </row>
    <row r="72" spans="2:27" s="48" customFormat="1" ht="12.75" hidden="1" customHeight="1" x14ac:dyDescent="0.2">
      <c r="B72" s="42">
        <v>32</v>
      </c>
      <c r="C72" s="38" t="str">
        <f t="shared" si="2"/>
        <v/>
      </c>
      <c r="D72" s="43" t="str">
        <f>IF(OR($R$11="",AND(Q16="",R16="")),"",CONCATENATE($R$11,": ",IF(N16="","",N16&amp;", "),IF(O16="","",O16&amp;", "),IF(P16="","",P16&amp;", "),IF(Q16="","xxxx",TEXT(Q16,"# ##0,-")),", ",IF(R16="","xxxx",TEXT(R16,"# ##0,-"))))</f>
        <v/>
      </c>
      <c r="E72" s="421"/>
      <c r="F72" s="421"/>
      <c r="G72" s="43"/>
      <c r="H72" s="43"/>
      <c r="I72" s="422"/>
      <c r="J72" s="43"/>
      <c r="K72" s="38" t="str">
        <f>IF(P16="","",MID(P16,1,5))</f>
        <v>SALDO</v>
      </c>
      <c r="L72" s="412"/>
      <c r="O72" s="411"/>
      <c r="P72" s="393"/>
      <c r="Q72" s="412"/>
      <c r="R72" s="412"/>
      <c r="S72" s="6"/>
      <c r="T72" s="6"/>
      <c r="U72" s="6"/>
      <c r="V72" s="6"/>
      <c r="W72" s="6"/>
      <c r="X72" s="6"/>
      <c r="Y72" s="6"/>
      <c r="Z72" s="6"/>
      <c r="AA72" s="6"/>
    </row>
    <row r="73" spans="2:27" s="48" customFormat="1" ht="12.75" hidden="1" customHeight="1" x14ac:dyDescent="0.2">
      <c r="B73" s="42">
        <v>33</v>
      </c>
      <c r="C73" s="38" t="str">
        <f t="shared" si="2"/>
        <v/>
      </c>
      <c r="D73" s="43" t="str">
        <f>IF(OR($R$11="",AND(Q17="",R17="")),"",CONCATENATE($R$11,": ",IF(N17="","",N17&amp;", "),IF(O17="","",O17&amp;", "),IF(P17="","",P17&amp;", "),IF(Q17="","xxxx",TEXT(Q17,"# ##0,-")),", ",IF(R17="","xxxx",TEXT(R17,"# ##0,-"))))</f>
        <v/>
      </c>
      <c r="E73" s="421"/>
      <c r="F73" s="421"/>
      <c r="G73" s="43"/>
      <c r="H73" s="43"/>
      <c r="I73" s="422"/>
      <c r="J73" s="43"/>
      <c r="K73" s="38" t="str">
        <f>IF(P17="","",MID(P17,1,5))</f>
        <v>Summe</v>
      </c>
      <c r="L73" s="412"/>
      <c r="O73" s="411"/>
      <c r="P73" s="393"/>
      <c r="Q73" s="412"/>
      <c r="R73" s="412"/>
      <c r="S73" s="6"/>
      <c r="T73" s="6"/>
      <c r="U73" s="6"/>
      <c r="V73" s="6"/>
      <c r="W73" s="6"/>
      <c r="X73" s="6"/>
      <c r="Y73" s="6"/>
      <c r="Z73" s="6"/>
      <c r="AA73" s="6"/>
    </row>
    <row r="74" spans="2:27" s="48" customFormat="1" ht="12.75" hidden="1" customHeight="1" x14ac:dyDescent="0.2">
      <c r="B74" s="42">
        <v>34</v>
      </c>
      <c r="C74" s="38" t="str">
        <f t="shared" si="2"/>
        <v/>
      </c>
      <c r="D74" s="43" t="str">
        <f>IF(OR($F$19="",AND(E21="",F21="")),"",CONCATENATE($F$19,": ",IF(B21="","",B21&amp;", "),IF(C21="","",C21&amp;", "),IF(D21="","",D21&amp;", "),IF(E21="","xxxx",TEXT(E21,"# ##0,-")),", ",IF(F21="","xxxx",TEXT(F21,"# ##0,-"))))</f>
        <v/>
      </c>
      <c r="E74" s="421"/>
      <c r="F74" s="421"/>
      <c r="G74" s="43"/>
      <c r="H74" s="43"/>
      <c r="I74" s="422"/>
      <c r="J74" s="43"/>
      <c r="K74" s="38" t="str">
        <f>IF(D21="","",MID(D21,1,5))</f>
        <v/>
      </c>
      <c r="L74" s="412"/>
      <c r="O74" s="411"/>
      <c r="P74" s="393"/>
      <c r="Q74" s="412"/>
      <c r="R74" s="412"/>
      <c r="S74" s="6"/>
      <c r="T74" s="6"/>
      <c r="U74" s="6"/>
      <c r="V74" s="6"/>
      <c r="W74" s="6"/>
      <c r="X74" s="6"/>
      <c r="Y74" s="6"/>
      <c r="Z74" s="6"/>
      <c r="AA74" s="6"/>
    </row>
    <row r="75" spans="2:27" s="48" customFormat="1" ht="12.75" hidden="1" customHeight="1" x14ac:dyDescent="0.2">
      <c r="B75" s="42">
        <v>35</v>
      </c>
      <c r="C75" s="38" t="str">
        <f t="shared" si="2"/>
        <v/>
      </c>
      <c r="D75" s="43" t="str">
        <f>IF(OR($F$19="",AND(E22="",F22="")),"",CONCATENATE($F$19,": ",IF(B22="","",B22&amp;", "),IF(C22="","",C22&amp;", "),IF(D22="","",D22&amp;", "),IF(E22="","xxxx",TEXT(E22,"# ##0,-")),", ",IF(F22="","xxxx",TEXT(F22,"# ##0,-"))))</f>
        <v/>
      </c>
      <c r="E75" s="421"/>
      <c r="F75" s="421"/>
      <c r="G75" s="43"/>
      <c r="H75" s="43"/>
      <c r="I75" s="422"/>
      <c r="J75" s="43"/>
      <c r="K75" s="38" t="str">
        <f>IF(D22="","",MID(D22,1,5))</f>
        <v/>
      </c>
      <c r="L75" s="412"/>
      <c r="O75" s="411"/>
      <c r="P75" s="393"/>
      <c r="Q75" s="412"/>
      <c r="R75" s="412"/>
      <c r="S75" s="6"/>
      <c r="T75" s="6"/>
      <c r="U75" s="6"/>
      <c r="V75" s="6"/>
      <c r="W75" s="6"/>
      <c r="X75" s="6"/>
      <c r="Y75" s="6"/>
      <c r="Z75" s="6"/>
      <c r="AA75" s="6"/>
    </row>
    <row r="76" spans="2:27" s="48" customFormat="1" ht="12.75" hidden="1" customHeight="1" x14ac:dyDescent="0.2">
      <c r="B76" s="42">
        <v>36</v>
      </c>
      <c r="C76" s="38" t="str">
        <f t="shared" si="2"/>
        <v/>
      </c>
      <c r="D76" s="43" t="str">
        <f>IF(OR($F$19="",AND(E23="",F23="")),"",CONCATENATE($F$19,": ",IF(B23="","",B23&amp;", "),IF(C23="","",C23&amp;", "),IF(D23="","",D23&amp;", "),IF(E23="","xxxx",TEXT(E23,"# ##0,-")),", ",IF(F23="","xxxx",TEXT(F23,"# ##0,-"))))</f>
        <v/>
      </c>
      <c r="E76" s="421"/>
      <c r="F76" s="421"/>
      <c r="G76" s="43"/>
      <c r="H76" s="43"/>
      <c r="I76" s="422"/>
      <c r="J76" s="43"/>
      <c r="K76" s="38" t="str">
        <f>IF(D23="","",MID(D23,1,5))</f>
        <v/>
      </c>
      <c r="L76" s="412"/>
      <c r="O76" s="411"/>
      <c r="P76" s="393"/>
      <c r="Q76" s="412"/>
      <c r="R76" s="412"/>
      <c r="S76" s="6"/>
      <c r="T76" s="6"/>
      <c r="U76" s="6"/>
      <c r="V76" s="6"/>
      <c r="W76" s="6"/>
      <c r="X76" s="6"/>
      <c r="Y76" s="6"/>
      <c r="Z76" s="6"/>
      <c r="AA76" s="6"/>
    </row>
    <row r="77" spans="2:27" s="48" customFormat="1" ht="12.75" hidden="1" customHeight="1" x14ac:dyDescent="0.2">
      <c r="B77" s="42">
        <v>37</v>
      </c>
      <c r="C77" s="38" t="str">
        <f t="shared" si="2"/>
        <v/>
      </c>
      <c r="D77" s="43" t="str">
        <f>IF(OR($F$19="",AND(E24="",F24="")),"",CONCATENATE($F$19,": ",IF(B24="","",B24&amp;", "),IF(C24="","",C24&amp;", "),IF(D24="","",D24&amp;", "),IF(E24="","xxxx",TEXT(E24,"# ##0,-")),", ",IF(F24="","xxxx",TEXT(F24,"# ##0,-"))))</f>
        <v/>
      </c>
      <c r="E77" s="421"/>
      <c r="F77" s="421"/>
      <c r="G77" s="43"/>
      <c r="H77" s="43"/>
      <c r="I77" s="422"/>
      <c r="J77" s="43"/>
      <c r="K77" s="38" t="str">
        <f>IF(D24="","",MID(D24,1,5))</f>
        <v>SALDO</v>
      </c>
      <c r="L77" s="412"/>
      <c r="O77" s="411"/>
      <c r="P77" s="393"/>
      <c r="Q77" s="412"/>
      <c r="R77" s="412"/>
      <c r="S77" s="6"/>
      <c r="T77" s="6"/>
      <c r="U77" s="6"/>
      <c r="V77" s="6"/>
      <c r="W77" s="6"/>
      <c r="X77" s="6"/>
      <c r="Y77" s="6"/>
      <c r="Z77" s="6"/>
      <c r="AA77" s="6"/>
    </row>
    <row r="78" spans="2:27" s="48" customFormat="1" ht="12.75" hidden="1" customHeight="1" x14ac:dyDescent="0.2">
      <c r="B78" s="42">
        <v>38</v>
      </c>
      <c r="C78" s="38" t="str">
        <f t="shared" si="2"/>
        <v/>
      </c>
      <c r="D78" s="43" t="str">
        <f>IF(OR($F$19="",AND(E25="",F25="")),"",CONCATENATE($F$19,": ",IF(B25="","",B25&amp;", "),IF(C25="","",C25&amp;", "),IF(D25="","",D25&amp;", "),IF(E25="","xxxx",TEXT(E25,"# ##0,-")),", ",IF(F25="","xxxx",TEXT(F25,"# ##0,-"))))</f>
        <v/>
      </c>
      <c r="E78" s="421"/>
      <c r="F78" s="421"/>
      <c r="G78" s="43"/>
      <c r="H78" s="43"/>
      <c r="I78" s="422"/>
      <c r="J78" s="43"/>
      <c r="K78" s="38" t="str">
        <f>IF(D25="","",MID(D25,1,5))</f>
        <v>Summe</v>
      </c>
      <c r="L78" s="412"/>
      <c r="O78" s="411"/>
      <c r="P78" s="393"/>
      <c r="Q78" s="412"/>
      <c r="R78" s="412"/>
      <c r="S78" s="6"/>
      <c r="T78" s="6"/>
      <c r="U78" s="6"/>
      <c r="V78" s="6"/>
      <c r="W78" s="6"/>
      <c r="X78" s="6"/>
      <c r="Y78" s="6"/>
      <c r="Z78" s="6"/>
      <c r="AA78" s="6"/>
    </row>
    <row r="79" spans="2:27" s="48" customFormat="1" ht="12.75" hidden="1" customHeight="1" x14ac:dyDescent="0.2">
      <c r="B79" s="42">
        <v>39</v>
      </c>
      <c r="C79" s="38" t="str">
        <f>IF(D79="","",MID(D79,1,FIND(": ",D79,1)-1)&amp;K79)</f>
        <v/>
      </c>
      <c r="D79" s="43" t="str">
        <f>IF(OR($L$19="",AND(K21="",L21="")),"",CONCATENATE($L$19,": ",IF(H21="","",H21&amp;", "),IF(I21="","",I21&amp;", "),IF(J21="","",J21&amp;", "),IF(K21="","xxxx",TEXT(K21,"# ##0,-")),", ",IF(L21="","xxxx",TEXT(L21,"# ##0,-"))))</f>
        <v/>
      </c>
      <c r="E79" s="421"/>
      <c r="F79" s="421"/>
      <c r="G79" s="43"/>
      <c r="H79" s="43"/>
      <c r="I79" s="422"/>
      <c r="J79" s="43"/>
      <c r="K79" s="38" t="str">
        <f>IF(J21="","",MID(J21,1,5))</f>
        <v/>
      </c>
      <c r="L79" s="412"/>
      <c r="O79" s="411"/>
      <c r="P79" s="393"/>
      <c r="Q79" s="412"/>
      <c r="R79" s="412"/>
      <c r="S79" s="6"/>
      <c r="T79" s="6"/>
      <c r="U79" s="6"/>
      <c r="V79" s="6"/>
      <c r="W79" s="6"/>
      <c r="X79" s="6"/>
      <c r="Y79" s="6"/>
      <c r="Z79" s="6"/>
      <c r="AA79" s="6"/>
    </row>
    <row r="80" spans="2:27" s="48" customFormat="1" ht="12.75" hidden="1" customHeight="1" x14ac:dyDescent="0.2">
      <c r="B80" s="42">
        <v>40</v>
      </c>
      <c r="C80" s="38" t="str">
        <f t="shared" ref="C80:C83" si="3">IF(D80="","",MID(D80,1,FIND(": ",D80,1)-1)&amp;K80)</f>
        <v/>
      </c>
      <c r="D80" s="43" t="str">
        <f t="shared" ref="D80:D83" si="4">IF(OR($L$19="",AND(K22="",L22="")),"",CONCATENATE($L$19,": ",IF(H22="","",H22&amp;", "),IF(I22="","",I22&amp;", "),IF(J22="","",J22&amp;", "),IF(K22="","xxxx",TEXT(K22,"# ##0,-")),", ",IF(L22="","xxxx",TEXT(L22,"# ##0,-"))))</f>
        <v/>
      </c>
      <c r="E80" s="421"/>
      <c r="F80" s="421"/>
      <c r="G80" s="43"/>
      <c r="H80" s="43"/>
      <c r="I80" s="422"/>
      <c r="J80" s="43"/>
      <c r="K80" s="38" t="str">
        <f t="shared" ref="K80:K83" si="5">IF(J22="","",MID(J22,1,5))</f>
        <v/>
      </c>
      <c r="L80" s="412"/>
      <c r="O80" s="411"/>
      <c r="P80" s="393"/>
      <c r="Q80" s="412"/>
      <c r="R80" s="412"/>
      <c r="S80" s="6"/>
      <c r="T80" s="6"/>
      <c r="U80" s="6"/>
      <c r="V80" s="6"/>
      <c r="W80" s="6"/>
      <c r="X80" s="6"/>
      <c r="Y80" s="6"/>
      <c r="Z80" s="6"/>
      <c r="AA80" s="6"/>
    </row>
    <row r="81" spans="2:27" s="48" customFormat="1" ht="12.75" hidden="1" customHeight="1" x14ac:dyDescent="0.2">
      <c r="B81" s="42">
        <v>41</v>
      </c>
      <c r="C81" s="38" t="str">
        <f t="shared" si="3"/>
        <v/>
      </c>
      <c r="D81" s="43" t="str">
        <f t="shared" si="4"/>
        <v/>
      </c>
      <c r="E81" s="421"/>
      <c r="F81" s="421"/>
      <c r="G81" s="43"/>
      <c r="H81" s="43"/>
      <c r="I81" s="422"/>
      <c r="J81" s="43"/>
      <c r="K81" s="38" t="str">
        <f t="shared" si="5"/>
        <v/>
      </c>
      <c r="L81" s="412"/>
      <c r="O81" s="411"/>
      <c r="P81" s="393"/>
      <c r="Q81" s="412"/>
      <c r="R81" s="412"/>
      <c r="S81" s="6"/>
      <c r="T81" s="6"/>
      <c r="U81" s="6"/>
      <c r="V81" s="6"/>
      <c r="W81" s="6"/>
      <c r="X81" s="6"/>
      <c r="Y81" s="6"/>
      <c r="Z81" s="6"/>
      <c r="AA81" s="6"/>
    </row>
    <row r="82" spans="2:27" s="48" customFormat="1" ht="12.75" hidden="1" customHeight="1" x14ac:dyDescent="0.2">
      <c r="B82" s="42">
        <v>42</v>
      </c>
      <c r="C82" s="38" t="str">
        <f t="shared" si="3"/>
        <v/>
      </c>
      <c r="D82" s="43" t="str">
        <f t="shared" si="4"/>
        <v/>
      </c>
      <c r="E82" s="421"/>
      <c r="F82" s="421"/>
      <c r="G82" s="43"/>
      <c r="H82" s="43"/>
      <c r="I82" s="422"/>
      <c r="J82" s="43"/>
      <c r="K82" s="38" t="str">
        <f t="shared" si="5"/>
        <v>SALDO</v>
      </c>
      <c r="L82" s="412"/>
      <c r="O82" s="411"/>
      <c r="P82" s="393"/>
      <c r="Q82" s="412"/>
      <c r="R82" s="412"/>
      <c r="S82" s="6"/>
      <c r="T82" s="6"/>
      <c r="U82" s="6"/>
      <c r="V82" s="6"/>
      <c r="W82" s="6"/>
      <c r="X82" s="6"/>
      <c r="Y82" s="6"/>
      <c r="Z82" s="6"/>
      <c r="AA82" s="6"/>
    </row>
    <row r="83" spans="2:27" s="48" customFormat="1" ht="12.75" hidden="1" customHeight="1" x14ac:dyDescent="0.2">
      <c r="B83" s="42">
        <v>43</v>
      </c>
      <c r="C83" s="38" t="str">
        <f t="shared" si="3"/>
        <v/>
      </c>
      <c r="D83" s="43" t="str">
        <f t="shared" si="4"/>
        <v/>
      </c>
      <c r="E83" s="421"/>
      <c r="F83" s="421"/>
      <c r="G83" s="43"/>
      <c r="H83" s="43"/>
      <c r="I83" s="422"/>
      <c r="J83" s="43"/>
      <c r="K83" s="38" t="str">
        <f t="shared" si="5"/>
        <v>Summe</v>
      </c>
      <c r="L83" s="412"/>
      <c r="O83" s="411"/>
      <c r="P83" s="393"/>
      <c r="Q83" s="412"/>
      <c r="R83" s="412"/>
      <c r="S83" s="6"/>
      <c r="T83" s="6"/>
      <c r="U83" s="6"/>
      <c r="V83" s="6"/>
      <c r="W83" s="6"/>
      <c r="X83" s="6"/>
      <c r="Y83" s="6"/>
      <c r="Z83" s="6"/>
      <c r="AA83" s="6"/>
    </row>
    <row r="84" spans="2:27" s="48" customFormat="1" ht="12.75" hidden="1" customHeight="1" x14ac:dyDescent="0.2">
      <c r="B84" s="42">
        <v>44</v>
      </c>
      <c r="C84" s="38" t="str">
        <f t="shared" si="2"/>
        <v/>
      </c>
      <c r="D84" s="43" t="str">
        <f>IF(OR($R$19="",AND(Q21="",R21="")),"",CONCATENATE($R$19,": ",IF(N21="","",N21&amp;", "),IF(O21="","",O21&amp;", "),IF(P21="","",P21&amp;", "),IF(Q21="","xxxx",TEXT(Q21,"# ##0,-")),", ",IF(R21="","xxxx",TEXT(R21,"# ##0,-"))))</f>
        <v/>
      </c>
      <c r="E84" s="421"/>
      <c r="F84" s="421"/>
      <c r="G84" s="43"/>
      <c r="H84" s="43"/>
      <c r="I84" s="422"/>
      <c r="J84" s="43"/>
      <c r="K84" s="38" t="str">
        <f>IF(P21="","",MID(P21,1,5))</f>
        <v/>
      </c>
      <c r="L84" s="412"/>
      <c r="O84" s="411"/>
      <c r="P84" s="393"/>
      <c r="Q84" s="412"/>
      <c r="R84" s="412"/>
      <c r="S84" s="6"/>
      <c r="T84" s="6"/>
      <c r="U84" s="6"/>
      <c r="V84" s="6"/>
      <c r="W84" s="6"/>
      <c r="X84" s="6"/>
      <c r="Y84" s="6"/>
      <c r="Z84" s="6"/>
      <c r="AA84" s="6"/>
    </row>
    <row r="85" spans="2:27" s="48" customFormat="1" ht="12.75" hidden="1" customHeight="1" x14ac:dyDescent="0.2">
      <c r="B85" s="42">
        <v>45</v>
      </c>
      <c r="C85" s="38" t="str">
        <f t="shared" si="2"/>
        <v/>
      </c>
      <c r="D85" s="43" t="str">
        <f t="shared" ref="D85:D88" si="6">IF(OR($R$19="",AND(Q22="",R22="")),"",CONCATENATE($R$19,": ",IF(N22="","",N22&amp;", "),IF(O22="","",O22&amp;", "),IF(P22="","",P22&amp;", "),IF(Q22="","xxxx",TEXT(Q22,"# ##0,-")),", ",IF(R22="","xxxx",TEXT(R22,"# ##0,-"))))</f>
        <v/>
      </c>
      <c r="E85" s="421"/>
      <c r="F85" s="421"/>
      <c r="G85" s="43"/>
      <c r="H85" s="43"/>
      <c r="I85" s="422"/>
      <c r="J85" s="43"/>
      <c r="K85" s="38" t="str">
        <f t="shared" ref="K85:K88" si="7">IF(P22="","",MID(P22,1,5))</f>
        <v/>
      </c>
      <c r="L85" s="412"/>
      <c r="O85" s="411"/>
      <c r="P85" s="393"/>
      <c r="Q85" s="412"/>
      <c r="R85" s="412"/>
      <c r="S85" s="6"/>
      <c r="T85" s="6"/>
      <c r="U85" s="6"/>
      <c r="V85" s="6"/>
      <c r="W85" s="6"/>
      <c r="X85" s="6"/>
      <c r="Y85" s="6"/>
      <c r="Z85" s="6"/>
      <c r="AA85" s="6"/>
    </row>
    <row r="86" spans="2:27" s="48" customFormat="1" ht="12.75" hidden="1" customHeight="1" x14ac:dyDescent="0.2">
      <c r="B86" s="42">
        <v>46</v>
      </c>
      <c r="C86" s="38" t="str">
        <f t="shared" si="2"/>
        <v/>
      </c>
      <c r="D86" s="43" t="str">
        <f t="shared" si="6"/>
        <v/>
      </c>
      <c r="E86" s="421"/>
      <c r="F86" s="421"/>
      <c r="G86" s="43"/>
      <c r="H86" s="43"/>
      <c r="I86" s="422"/>
      <c r="J86" s="43"/>
      <c r="K86" s="38" t="str">
        <f t="shared" si="7"/>
        <v/>
      </c>
      <c r="L86" s="412"/>
      <c r="O86" s="411"/>
      <c r="P86" s="393"/>
      <c r="Q86" s="412"/>
      <c r="R86" s="412"/>
      <c r="S86" s="6"/>
      <c r="T86" s="6"/>
      <c r="U86" s="6"/>
      <c r="V86" s="6"/>
      <c r="W86" s="6"/>
      <c r="X86" s="6"/>
      <c r="Y86" s="6"/>
      <c r="Z86" s="6"/>
      <c r="AA86" s="6"/>
    </row>
    <row r="87" spans="2:27" s="48" customFormat="1" ht="12.75" hidden="1" customHeight="1" x14ac:dyDescent="0.2">
      <c r="B87" s="42">
        <v>47</v>
      </c>
      <c r="C87" s="38" t="str">
        <f t="shared" si="2"/>
        <v/>
      </c>
      <c r="D87" s="43" t="str">
        <f t="shared" si="6"/>
        <v/>
      </c>
      <c r="E87" s="421"/>
      <c r="F87" s="421"/>
      <c r="G87" s="43"/>
      <c r="H87" s="43"/>
      <c r="I87" s="422"/>
      <c r="J87" s="43"/>
      <c r="K87" s="38" t="str">
        <f t="shared" si="7"/>
        <v>SALDO</v>
      </c>
      <c r="L87" s="412"/>
      <c r="O87" s="411"/>
      <c r="P87" s="393"/>
      <c r="Q87" s="412"/>
      <c r="R87" s="412"/>
      <c r="S87" s="6"/>
      <c r="T87" s="6"/>
      <c r="U87" s="6"/>
      <c r="V87" s="6"/>
      <c r="W87" s="6"/>
      <c r="X87" s="6"/>
      <c r="Y87" s="6"/>
      <c r="Z87" s="6"/>
      <c r="AA87" s="6"/>
    </row>
    <row r="88" spans="2:27" s="48" customFormat="1" ht="12.75" hidden="1" customHeight="1" x14ac:dyDescent="0.2">
      <c r="B88" s="42">
        <v>48</v>
      </c>
      <c r="C88" s="38" t="str">
        <f t="shared" si="2"/>
        <v/>
      </c>
      <c r="D88" s="43" t="str">
        <f t="shared" si="6"/>
        <v/>
      </c>
      <c r="E88" s="421"/>
      <c r="F88" s="421"/>
      <c r="G88" s="43"/>
      <c r="H88" s="43"/>
      <c r="I88" s="422"/>
      <c r="J88" s="43"/>
      <c r="K88" s="38" t="str">
        <f t="shared" si="7"/>
        <v>Summe</v>
      </c>
      <c r="L88" s="412"/>
      <c r="O88" s="411"/>
      <c r="P88" s="393"/>
      <c r="Q88" s="412"/>
      <c r="R88" s="412"/>
      <c r="S88" s="6"/>
      <c r="T88" s="6"/>
      <c r="U88" s="6"/>
      <c r="V88" s="6"/>
      <c r="W88" s="6"/>
      <c r="X88" s="6"/>
      <c r="Y88" s="6"/>
      <c r="Z88" s="6"/>
      <c r="AA88" s="6"/>
    </row>
    <row r="89" spans="2:27" s="48" customFormat="1" ht="12.75" hidden="1" customHeight="1" x14ac:dyDescent="0.2">
      <c r="B89" s="42">
        <v>49</v>
      </c>
      <c r="C89" s="38" t="str">
        <f t="shared" si="2"/>
        <v/>
      </c>
      <c r="D89" s="43" t="str">
        <f>IF(OR($F$27="",AND(E29="",F29="")),"",CONCATENATE($F$27,": ",IF(B29="","",B29&amp;", "),IF(C29="","",C29&amp;", "),IF(D29="","",D29&amp;", "),IF(E29="","xxxx",TEXT(E29,"# ##0,-")),", ",IF(F29="","xxxx",TEXT(F29,"# ##0,-"))))</f>
        <v/>
      </c>
      <c r="E89" s="421"/>
      <c r="F89" s="421"/>
      <c r="G89" s="43"/>
      <c r="H89" s="43"/>
      <c r="I89" s="422"/>
      <c r="J89" s="43"/>
      <c r="K89" s="38" t="str">
        <f>IF(D29="","",MID(D29,1,5))</f>
        <v/>
      </c>
      <c r="L89" s="412"/>
      <c r="O89" s="411"/>
      <c r="P89" s="393"/>
      <c r="Q89" s="412"/>
      <c r="R89" s="412"/>
      <c r="S89" s="6"/>
      <c r="T89" s="6"/>
      <c r="U89" s="6"/>
      <c r="V89" s="6"/>
      <c r="W89" s="6"/>
      <c r="X89" s="6"/>
      <c r="Y89" s="6"/>
      <c r="Z89" s="6"/>
      <c r="AA89" s="6"/>
    </row>
    <row r="90" spans="2:27" s="48" customFormat="1" ht="12.75" hidden="1" customHeight="1" x14ac:dyDescent="0.2">
      <c r="B90" s="42">
        <v>50</v>
      </c>
      <c r="C90" s="38" t="str">
        <f t="shared" si="2"/>
        <v/>
      </c>
      <c r="D90" s="43" t="str">
        <f t="shared" ref="D90:D93" si="8">IF(OR($F$27="",AND(E30="",F30="")),"",CONCATENATE($F$27,": ",IF(B30="","",B30&amp;", "),IF(C30="","",C30&amp;", "),IF(D30="","",D30&amp;", "),IF(E30="","xxxx",TEXT(E30,"# ##0,-")),", ",IF(F30="","xxxx",TEXT(F30,"# ##0,-"))))</f>
        <v/>
      </c>
      <c r="E90" s="421"/>
      <c r="F90" s="421"/>
      <c r="G90" s="43"/>
      <c r="H90" s="43"/>
      <c r="I90" s="422"/>
      <c r="J90" s="43"/>
      <c r="K90" s="38" t="str">
        <f t="shared" ref="K90:K93" si="9">IF(D30="","",MID(D30,1,5))</f>
        <v/>
      </c>
      <c r="L90" s="412"/>
      <c r="O90" s="411"/>
      <c r="P90" s="393"/>
      <c r="Q90" s="412"/>
      <c r="R90" s="412"/>
      <c r="S90" s="6"/>
      <c r="T90" s="6"/>
      <c r="U90" s="6"/>
      <c r="V90" s="6"/>
      <c r="W90" s="6"/>
      <c r="X90" s="6"/>
      <c r="Y90" s="6"/>
      <c r="Z90" s="6"/>
      <c r="AA90" s="6"/>
    </row>
    <row r="91" spans="2:27" s="48" customFormat="1" ht="12.75" hidden="1" customHeight="1" x14ac:dyDescent="0.2">
      <c r="B91" s="42">
        <v>51</v>
      </c>
      <c r="C91" s="38" t="str">
        <f t="shared" si="2"/>
        <v/>
      </c>
      <c r="D91" s="43" t="str">
        <f t="shared" si="8"/>
        <v/>
      </c>
      <c r="E91" s="421"/>
      <c r="F91" s="421"/>
      <c r="G91" s="43"/>
      <c r="H91" s="43"/>
      <c r="I91" s="422"/>
      <c r="J91" s="43"/>
      <c r="K91" s="38" t="str">
        <f t="shared" si="9"/>
        <v/>
      </c>
      <c r="L91" s="412"/>
      <c r="O91" s="411"/>
      <c r="P91" s="393"/>
      <c r="Q91" s="412"/>
      <c r="R91" s="412"/>
      <c r="S91" s="6"/>
      <c r="T91" s="6"/>
      <c r="U91" s="6"/>
      <c r="V91" s="6"/>
      <c r="W91" s="6"/>
      <c r="X91" s="6"/>
      <c r="Y91" s="6"/>
      <c r="Z91" s="6"/>
      <c r="AA91" s="6"/>
    </row>
    <row r="92" spans="2:27" s="48" customFormat="1" ht="12.75" hidden="1" customHeight="1" x14ac:dyDescent="0.2">
      <c r="B92" s="42">
        <v>52</v>
      </c>
      <c r="C92" s="38" t="str">
        <f t="shared" si="2"/>
        <v/>
      </c>
      <c r="D92" s="43" t="str">
        <f t="shared" si="8"/>
        <v/>
      </c>
      <c r="E92" s="421"/>
      <c r="F92" s="421"/>
      <c r="G92" s="43"/>
      <c r="H92" s="43"/>
      <c r="I92" s="422"/>
      <c r="J92" s="43"/>
      <c r="K92" s="38" t="str">
        <f t="shared" si="9"/>
        <v>SALDO</v>
      </c>
      <c r="L92" s="412"/>
      <c r="O92" s="411"/>
      <c r="P92" s="393"/>
      <c r="Q92" s="412"/>
      <c r="R92" s="412"/>
      <c r="S92" s="6"/>
      <c r="T92" s="6"/>
      <c r="U92" s="6"/>
      <c r="V92" s="6"/>
      <c r="W92" s="6"/>
      <c r="X92" s="6"/>
      <c r="Y92" s="6"/>
      <c r="Z92" s="6"/>
      <c r="AA92" s="6"/>
    </row>
    <row r="93" spans="2:27" s="48" customFormat="1" ht="12.75" hidden="1" customHeight="1" x14ac:dyDescent="0.2">
      <c r="B93" s="42">
        <v>53</v>
      </c>
      <c r="C93" s="38" t="str">
        <f t="shared" si="2"/>
        <v/>
      </c>
      <c r="D93" s="43" t="str">
        <f t="shared" si="8"/>
        <v/>
      </c>
      <c r="E93" s="421"/>
      <c r="F93" s="421"/>
      <c r="G93" s="43"/>
      <c r="H93" s="43"/>
      <c r="I93" s="422"/>
      <c r="J93" s="43"/>
      <c r="K93" s="38" t="str">
        <f t="shared" si="9"/>
        <v>Summe</v>
      </c>
      <c r="L93" s="412"/>
      <c r="O93" s="411"/>
      <c r="P93" s="393"/>
      <c r="Q93" s="412"/>
      <c r="R93" s="412"/>
      <c r="S93" s="6"/>
      <c r="T93" s="6"/>
      <c r="U93" s="6"/>
      <c r="V93" s="6"/>
      <c r="W93" s="6"/>
      <c r="X93" s="6"/>
      <c r="Y93" s="6"/>
      <c r="Z93" s="6"/>
      <c r="AA93" s="6"/>
    </row>
    <row r="94" spans="2:27" s="48" customFormat="1" ht="12.75" hidden="1" customHeight="1" x14ac:dyDescent="0.2">
      <c r="B94" s="42">
        <v>54</v>
      </c>
      <c r="C94" s="38" t="str">
        <f t="shared" si="2"/>
        <v/>
      </c>
      <c r="D94" s="43" t="str">
        <f>IF(OR($L$27="",AND(K29="",L29="")),"",CONCATENATE($L$27,": ",IF(H29="","",H29&amp;", "),IF(I29="","",I29&amp;", "),IF(J29="","",J29&amp;", "),IF(K29="","xxxx",TEXT(K29,"# ##0,-")),", ",IF(L29="","xxxx",TEXT(L29,"# ##0,-"))))</f>
        <v/>
      </c>
      <c r="E94" s="421"/>
      <c r="F94" s="421"/>
      <c r="G94" s="43"/>
      <c r="H94" s="43"/>
      <c r="I94" s="422"/>
      <c r="J94" s="43"/>
      <c r="K94" s="38" t="str">
        <f>IF(J29="","",MID(J29,1,5))</f>
        <v/>
      </c>
      <c r="L94" s="412"/>
      <c r="O94" s="411"/>
      <c r="P94" s="393"/>
      <c r="Q94" s="412"/>
      <c r="R94" s="412"/>
      <c r="S94" s="6"/>
      <c r="T94" s="6"/>
      <c r="U94" s="6"/>
      <c r="V94" s="6"/>
      <c r="W94" s="6"/>
      <c r="X94" s="6"/>
      <c r="Y94" s="6"/>
      <c r="Z94" s="6"/>
      <c r="AA94" s="6"/>
    </row>
    <row r="95" spans="2:27" s="48" customFormat="1" ht="12.75" hidden="1" customHeight="1" x14ac:dyDescent="0.2">
      <c r="B95" s="42">
        <v>55</v>
      </c>
      <c r="C95" s="38" t="str">
        <f t="shared" si="2"/>
        <v/>
      </c>
      <c r="D95" s="43" t="str">
        <f t="shared" ref="D95:D98" si="10">IF(OR($L$27="",AND(K30="",L30="")),"",CONCATENATE($L$27,": ",IF(H30="","",H30&amp;", "),IF(I30="","",I30&amp;", "),IF(J30="","",J30&amp;", "),IF(K30="","xxxx",TEXT(K30,"# ##0,-")),", ",IF(L30="","xxxx",TEXT(L30,"# ##0,-"))))</f>
        <v/>
      </c>
      <c r="E95" s="421"/>
      <c r="F95" s="421"/>
      <c r="G95" s="43"/>
      <c r="H95" s="43"/>
      <c r="I95" s="422"/>
      <c r="J95" s="43"/>
      <c r="K95" s="38" t="str">
        <f t="shared" ref="K95:K98" si="11">IF(J30="","",MID(J30,1,5))</f>
        <v/>
      </c>
      <c r="L95" s="412"/>
      <c r="O95" s="411"/>
      <c r="P95" s="393"/>
      <c r="Q95" s="412"/>
      <c r="R95" s="412"/>
      <c r="S95" s="6"/>
      <c r="T95" s="6"/>
      <c r="U95" s="6"/>
      <c r="V95" s="6"/>
      <c r="W95" s="6"/>
      <c r="X95" s="6"/>
      <c r="Y95" s="6"/>
      <c r="Z95" s="6"/>
      <c r="AA95" s="6"/>
    </row>
    <row r="96" spans="2:27" s="48" customFormat="1" ht="12.75" hidden="1" customHeight="1" x14ac:dyDescent="0.2">
      <c r="B96" s="42">
        <v>56</v>
      </c>
      <c r="C96" s="38" t="str">
        <f t="shared" si="2"/>
        <v/>
      </c>
      <c r="D96" s="43" t="str">
        <f t="shared" si="10"/>
        <v/>
      </c>
      <c r="E96" s="421"/>
      <c r="F96" s="421"/>
      <c r="G96" s="43"/>
      <c r="H96" s="43"/>
      <c r="I96" s="422"/>
      <c r="J96" s="43"/>
      <c r="K96" s="38" t="str">
        <f t="shared" si="11"/>
        <v/>
      </c>
      <c r="L96" s="412"/>
      <c r="O96" s="411"/>
      <c r="P96" s="393"/>
      <c r="Q96" s="412"/>
      <c r="R96" s="412"/>
      <c r="S96" s="6"/>
      <c r="T96" s="6"/>
      <c r="U96" s="6"/>
      <c r="V96" s="6"/>
      <c r="W96" s="6"/>
      <c r="X96" s="6"/>
      <c r="Y96" s="6"/>
      <c r="Z96" s="6"/>
      <c r="AA96" s="6"/>
    </row>
    <row r="97" spans="2:27" s="48" customFormat="1" ht="12.75" hidden="1" customHeight="1" x14ac:dyDescent="0.2">
      <c r="B97" s="42">
        <v>57</v>
      </c>
      <c r="C97" s="38" t="str">
        <f t="shared" si="2"/>
        <v/>
      </c>
      <c r="D97" s="43" t="str">
        <f t="shared" si="10"/>
        <v/>
      </c>
      <c r="E97" s="421"/>
      <c r="F97" s="421"/>
      <c r="G97" s="43"/>
      <c r="H97" s="43"/>
      <c r="I97" s="422"/>
      <c r="J97" s="43"/>
      <c r="K97" s="38" t="str">
        <f t="shared" si="11"/>
        <v>SALDO</v>
      </c>
      <c r="L97" s="412"/>
      <c r="O97" s="411"/>
      <c r="P97" s="393"/>
      <c r="Q97" s="412"/>
      <c r="R97" s="412"/>
      <c r="S97" s="6"/>
      <c r="T97" s="6"/>
      <c r="U97" s="6"/>
      <c r="V97" s="6"/>
      <c r="W97" s="6"/>
      <c r="X97" s="6"/>
      <c r="Y97" s="6"/>
      <c r="Z97" s="6"/>
      <c r="AA97" s="6"/>
    </row>
    <row r="98" spans="2:27" s="48" customFormat="1" ht="12.75" hidden="1" customHeight="1" x14ac:dyDescent="0.2">
      <c r="B98" s="42">
        <v>58</v>
      </c>
      <c r="C98" s="38" t="str">
        <f t="shared" si="2"/>
        <v/>
      </c>
      <c r="D98" s="43" t="str">
        <f t="shared" si="10"/>
        <v/>
      </c>
      <c r="E98" s="421"/>
      <c r="F98" s="421"/>
      <c r="G98" s="43"/>
      <c r="H98" s="43"/>
      <c r="I98" s="422"/>
      <c r="J98" s="43"/>
      <c r="K98" s="38" t="str">
        <f t="shared" si="11"/>
        <v>Summe</v>
      </c>
      <c r="L98" s="412"/>
      <c r="O98" s="411"/>
      <c r="P98" s="393"/>
      <c r="Q98" s="412"/>
      <c r="R98" s="412"/>
      <c r="S98" s="6"/>
      <c r="T98" s="6"/>
      <c r="U98" s="6"/>
      <c r="V98" s="6"/>
      <c r="W98" s="6"/>
      <c r="X98" s="6"/>
      <c r="Y98" s="6"/>
      <c r="Z98" s="6"/>
      <c r="AA98" s="6"/>
    </row>
    <row r="99" spans="2:27" s="48" customFormat="1" ht="12.75" hidden="1" customHeight="1" x14ac:dyDescent="0.2">
      <c r="B99" s="42">
        <v>59</v>
      </c>
      <c r="C99" s="38" t="str">
        <f t="shared" si="2"/>
        <v/>
      </c>
      <c r="D99" s="43" t="str">
        <f>IF(OR($R$27="",AND(Q29="",R29="")),"",CONCATENATE($R$27,": ",IF(N29="","",N29&amp;", "),IF(O29="","",O29&amp;", "),IF(P29="","",P29&amp;", "),IF(Q29="","xxxx",TEXT(Q29,"# ##0,-")),", ",IF(R29="","xxxx",TEXT(R29,"# ##0,-"))))</f>
        <v/>
      </c>
      <c r="E99" s="421"/>
      <c r="F99" s="421"/>
      <c r="G99" s="43"/>
      <c r="H99" s="43"/>
      <c r="I99" s="422"/>
      <c r="J99" s="43"/>
      <c r="K99" s="38" t="str">
        <f>IF(P29="","",MID(P29,1,5))</f>
        <v/>
      </c>
      <c r="L99" s="412"/>
      <c r="O99" s="411"/>
      <c r="P99" s="393"/>
      <c r="Q99" s="412"/>
      <c r="R99" s="412"/>
      <c r="S99" s="6"/>
      <c r="T99" s="6"/>
      <c r="U99" s="6"/>
      <c r="V99" s="6"/>
      <c r="W99" s="6"/>
      <c r="X99" s="6"/>
      <c r="Y99" s="6"/>
      <c r="Z99" s="6"/>
      <c r="AA99" s="6"/>
    </row>
    <row r="100" spans="2:27" s="48" customFormat="1" ht="12.75" hidden="1" customHeight="1" x14ac:dyDescent="0.2">
      <c r="B100" s="42">
        <v>60</v>
      </c>
      <c r="C100" s="38" t="str">
        <f t="shared" si="2"/>
        <v/>
      </c>
      <c r="D100" s="43" t="str">
        <f t="shared" ref="D100:D103" si="12">IF(OR($R$27="",AND(Q30="",R30="")),"",CONCATENATE($R$27,": ",IF(N30="","",N30&amp;", "),IF(O30="","",O30&amp;", "),IF(P30="","",P30&amp;", "),IF(Q30="","xxxx",TEXT(Q30,"# ##0,-")),", ",IF(R30="","xxxx",TEXT(R30,"# ##0,-"))))</f>
        <v/>
      </c>
      <c r="E100" s="421"/>
      <c r="F100" s="421"/>
      <c r="G100" s="43"/>
      <c r="H100" s="43"/>
      <c r="I100" s="422"/>
      <c r="J100" s="43"/>
      <c r="K100" s="38" t="str">
        <f t="shared" ref="K100:K103" si="13">IF(P30="","",MID(P30,1,5))</f>
        <v/>
      </c>
      <c r="L100" s="412"/>
      <c r="O100" s="411"/>
      <c r="P100" s="393"/>
      <c r="Q100" s="412"/>
      <c r="R100" s="412"/>
      <c r="S100" s="6"/>
      <c r="T100" s="6"/>
      <c r="U100" s="6"/>
      <c r="V100" s="6"/>
      <c r="W100" s="6"/>
      <c r="X100" s="6"/>
      <c r="Y100" s="6"/>
      <c r="Z100" s="6"/>
      <c r="AA100" s="6"/>
    </row>
    <row r="101" spans="2:27" s="48" customFormat="1" ht="12.75" hidden="1" customHeight="1" x14ac:dyDescent="0.2">
      <c r="B101" s="42">
        <v>61</v>
      </c>
      <c r="C101" s="38" t="str">
        <f t="shared" si="2"/>
        <v/>
      </c>
      <c r="D101" s="43" t="str">
        <f t="shared" si="12"/>
        <v/>
      </c>
      <c r="E101" s="421"/>
      <c r="F101" s="421"/>
      <c r="G101" s="43"/>
      <c r="H101" s="43"/>
      <c r="I101" s="422"/>
      <c r="J101" s="43"/>
      <c r="K101" s="38" t="str">
        <f t="shared" si="13"/>
        <v/>
      </c>
      <c r="L101" s="412"/>
      <c r="O101" s="411"/>
      <c r="P101" s="393"/>
      <c r="Q101" s="412"/>
      <c r="R101" s="412"/>
      <c r="S101" s="6"/>
      <c r="T101" s="6"/>
      <c r="U101" s="6"/>
      <c r="V101" s="6"/>
      <c r="W101" s="6"/>
      <c r="X101" s="6"/>
      <c r="Y101" s="6"/>
      <c r="Z101" s="6"/>
      <c r="AA101" s="6"/>
    </row>
    <row r="102" spans="2:27" s="48" customFormat="1" ht="12.75" hidden="1" customHeight="1" x14ac:dyDescent="0.2">
      <c r="B102" s="42">
        <v>62</v>
      </c>
      <c r="C102" s="38" t="str">
        <f t="shared" si="2"/>
        <v/>
      </c>
      <c r="D102" s="43" t="str">
        <f t="shared" si="12"/>
        <v/>
      </c>
      <c r="E102" s="421"/>
      <c r="F102" s="421"/>
      <c r="G102" s="43"/>
      <c r="H102" s="43"/>
      <c r="I102" s="422"/>
      <c r="J102" s="43"/>
      <c r="K102" s="38" t="str">
        <f t="shared" si="13"/>
        <v>SALDO</v>
      </c>
      <c r="L102" s="412"/>
      <c r="O102" s="411"/>
      <c r="P102" s="393"/>
      <c r="Q102" s="412"/>
      <c r="R102" s="412"/>
      <c r="S102" s="6"/>
      <c r="T102" s="6"/>
      <c r="U102" s="6"/>
      <c r="V102" s="6"/>
      <c r="W102" s="6"/>
      <c r="X102" s="6"/>
      <c r="Y102" s="6"/>
      <c r="Z102" s="6"/>
      <c r="AA102" s="6"/>
    </row>
    <row r="103" spans="2:27" s="48" customFormat="1" ht="12.75" hidden="1" customHeight="1" x14ac:dyDescent="0.2">
      <c r="B103" s="42">
        <v>63</v>
      </c>
      <c r="C103" s="38" t="str">
        <f t="shared" si="2"/>
        <v/>
      </c>
      <c r="D103" s="43" t="str">
        <f t="shared" si="12"/>
        <v/>
      </c>
      <c r="E103" s="421"/>
      <c r="F103" s="421"/>
      <c r="G103" s="43"/>
      <c r="H103" s="43"/>
      <c r="I103" s="422"/>
      <c r="J103" s="43"/>
      <c r="K103" s="38" t="str">
        <f t="shared" si="13"/>
        <v>Summe</v>
      </c>
      <c r="L103" s="412"/>
      <c r="O103" s="411"/>
      <c r="P103" s="393"/>
      <c r="Q103" s="412"/>
      <c r="R103" s="412"/>
      <c r="S103" s="6"/>
      <c r="T103" s="6"/>
      <c r="U103" s="6"/>
      <c r="V103" s="6"/>
      <c r="W103" s="6"/>
      <c r="X103" s="6"/>
      <c r="Y103" s="6"/>
      <c r="Z103" s="6"/>
      <c r="AA103" s="6"/>
    </row>
  </sheetData>
  <sheetProtection algorithmName="SHA-512" hashValue="p8yRKmFENmpKGzZmDiEk9jXhrJxsUJeWcca/kFw7fOk982FmdZwl/QvTeQ/mg9NURGnbEyTTvlQrdFwuYB/mVA==" saltValue="yrb847nmME+S5+mV1Af7tg==" spinCount="100000" sheet="1" objects="1" scenarios="1"/>
  <dataValidations count="4">
    <dataValidation type="list" allowBlank="1" showInputMessage="1" showErrorMessage="1" sqref="D5:D15 D21:D23 D29:D31 J5:J7 J13:J15 J21:J23 J29:J31 P5:P7 P13:P15 P21:P23 P29:P31" xr:uid="{00000000-0002-0000-0400-000000000000}">
      <formula1>B_Text</formula1>
    </dataValidation>
    <dataValidation type="list" allowBlank="1" showInputMessage="1" showErrorMessage="1" sqref="C5:C16 C21:C24 C29:C32 I5:I8 I13:I16 I21:I24 I29:I32 O5:O8 O13:O16 O21:O24 O29:O32" xr:uid="{00000000-0002-0000-0400-000001000000}">
      <formula1>Dat</formula1>
    </dataValidation>
    <dataValidation type="list" allowBlank="1" showInputMessage="1" showErrorMessage="1" sqref="B5:B16 B21:B24 H5:H8 H13:H16 N5:N8 N13:N16 H21:H24 N21:N24 B29:B32 H29:H32 N29:N32" xr:uid="{00000000-0002-0000-0400-000002000000}">
      <formula1>BNr</formula1>
    </dataValidation>
    <dataValidation type="list" allowBlank="1" showInputMessage="1" showErrorMessage="1" sqref="F3 L11 L3 R3 R11 F27 R27 L27 R19 L19 F19" xr:uid="{00000000-0002-0000-0400-000003000000}">
      <formula1>KTONR</formula1>
    </dataValidation>
  </dataValidations>
  <pageMargins left="0.39370078740157483" right="0.78740157480314965" top="0.59055118110236227" bottom="0.59055118110236227" header="0.39370078740157483" footer="0.31496062992125984"/>
  <pageSetup paperSize="9" scale="77" orientation="landscape" blackAndWhite="1" r:id="rId1"/>
  <headerFooter>
    <oddFooter>&amp;L&amp;"+,Fett"&amp;8Seite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A106"/>
  <sheetViews>
    <sheetView showGridLines="0" showRowColHeaders="0" workbookViewId="0">
      <pane ySplit="1" topLeftCell="A2" activePane="bottomLeft" state="frozen"/>
      <selection activeCell="E5" sqref="E5"/>
      <selection pane="bottomLeft" activeCell="A2" sqref="A2"/>
    </sheetView>
  </sheetViews>
  <sheetFormatPr baseColWidth="10" defaultColWidth="0" defaultRowHeight="15" zeroHeight="1" x14ac:dyDescent="0.25"/>
  <cols>
    <col min="1" max="1" width="0.140625" style="95" customWidth="1"/>
    <col min="2" max="2" width="4.7109375" style="95" customWidth="1"/>
    <col min="3" max="3" width="5.7109375" style="95" customWidth="1"/>
    <col min="4" max="4" width="22.7109375" style="95" customWidth="1"/>
    <col min="5" max="6" width="11.7109375" style="95" customWidth="1"/>
    <col min="7" max="7" width="1.7109375" style="95" customWidth="1"/>
    <col min="8" max="8" width="4.7109375" style="95" customWidth="1"/>
    <col min="9" max="9" width="5.7109375" style="95" customWidth="1"/>
    <col min="10" max="10" width="22.7109375" style="95" customWidth="1"/>
    <col min="11" max="12" width="11.7109375" style="95" customWidth="1"/>
    <col min="13" max="13" width="1.7109375" style="95" customWidth="1"/>
    <col min="14" max="14" width="4.7109375" style="95" customWidth="1"/>
    <col min="15" max="15" width="5.7109375" style="95" customWidth="1"/>
    <col min="16" max="16" width="22.7109375" style="95" customWidth="1"/>
    <col min="17" max="18" width="11.7109375" style="95" customWidth="1"/>
    <col min="19" max="19" width="2.7109375" style="95" customWidth="1"/>
    <col min="20" max="27" width="11.42578125" style="95" customWidth="1"/>
    <col min="28" max="16384" width="11.42578125" style="95" hidden="1"/>
  </cols>
  <sheetData>
    <row r="1" spans="2:27" s="48" customFormat="1" ht="27" customHeight="1" x14ac:dyDescent="0.2">
      <c r="B1" s="73" t="s">
        <v>123</v>
      </c>
      <c r="C1" s="73"/>
      <c r="D1" s="73"/>
      <c r="E1" s="73"/>
      <c r="F1" s="73"/>
      <c r="G1" s="73"/>
      <c r="H1" s="73"/>
      <c r="I1" s="73"/>
      <c r="J1" s="73"/>
      <c r="K1" s="73"/>
      <c r="L1" s="73"/>
      <c r="M1" s="73"/>
      <c r="N1" s="73"/>
      <c r="O1" s="73"/>
      <c r="P1" s="73"/>
      <c r="Q1" s="73"/>
      <c r="R1" s="73"/>
      <c r="S1" s="5"/>
      <c r="T1" s="75" t="s">
        <v>102</v>
      </c>
      <c r="U1" s="5"/>
      <c r="V1" s="5"/>
      <c r="W1" s="5"/>
      <c r="X1" s="5"/>
      <c r="Y1" s="5"/>
      <c r="Z1" s="5"/>
      <c r="AA1" s="5"/>
    </row>
    <row r="2" spans="2:27" s="48" customFormat="1" ht="30" customHeight="1" x14ac:dyDescent="0.2">
      <c r="B2" s="393" t="s">
        <v>124</v>
      </c>
      <c r="C2" s="394"/>
      <c r="D2" s="394"/>
      <c r="E2" s="395"/>
      <c r="F2" s="395"/>
      <c r="G2" s="394"/>
      <c r="H2" s="394"/>
      <c r="I2" s="394"/>
      <c r="J2" s="394"/>
      <c r="K2" s="395"/>
      <c r="L2" s="395"/>
      <c r="M2" s="394"/>
      <c r="N2" s="394"/>
      <c r="O2" s="394"/>
      <c r="P2" s="394"/>
      <c r="Q2" s="395"/>
      <c r="R2" s="395"/>
      <c r="S2" s="6"/>
      <c r="T2" s="6"/>
      <c r="U2" s="6"/>
      <c r="V2" s="6"/>
      <c r="W2" s="6"/>
      <c r="X2" s="6"/>
      <c r="Y2" s="6"/>
      <c r="Z2" s="6"/>
      <c r="AA2" s="6"/>
    </row>
    <row r="3" spans="2:27" s="48" customFormat="1" ht="20.100000000000001" customHeight="1" x14ac:dyDescent="0.2">
      <c r="B3" s="396"/>
      <c r="C3" s="397"/>
      <c r="D3" s="398" t="str">
        <f>IF(F3="","",VLOOKUP(F3,KTOPL,2,0))</f>
        <v>Privat</v>
      </c>
      <c r="E3" s="399" t="s">
        <v>105</v>
      </c>
      <c r="F3" s="400" t="s">
        <v>125</v>
      </c>
      <c r="H3" s="396"/>
      <c r="I3" s="397"/>
      <c r="J3" s="398" t="str">
        <f>IF(L3="","",VLOOKUP(L3,KTOPL,2,0))</f>
        <v>Schlussbilanzkonto (SBK)</v>
      </c>
      <c r="K3" s="399" t="s">
        <v>105</v>
      </c>
      <c r="L3" s="400" t="s">
        <v>126</v>
      </c>
      <c r="N3" s="396"/>
      <c r="O3" s="397"/>
      <c r="P3" s="398" t="str">
        <f>IF(R3="","",VLOOKUP(R3,KTOPL,2,0))</f>
        <v>Gewinn- und Verlustkonto (GuV)</v>
      </c>
      <c r="Q3" s="399" t="s">
        <v>105</v>
      </c>
      <c r="R3" s="400" t="s">
        <v>127</v>
      </c>
      <c r="S3" s="6"/>
      <c r="T3" s="6"/>
      <c r="U3" s="6"/>
      <c r="V3" s="6"/>
      <c r="W3" s="6"/>
      <c r="X3" s="6"/>
      <c r="Y3" s="6"/>
      <c r="Z3" s="6"/>
      <c r="AA3" s="6"/>
    </row>
    <row r="4" spans="2:27" s="48" customFormat="1" ht="20.100000000000001" customHeight="1" x14ac:dyDescent="0.2">
      <c r="B4" s="401" t="s">
        <v>106</v>
      </c>
      <c r="C4" s="402" t="s">
        <v>107</v>
      </c>
      <c r="D4" s="401" t="s">
        <v>11</v>
      </c>
      <c r="E4" s="403" t="s">
        <v>108</v>
      </c>
      <c r="F4" s="403" t="s">
        <v>109</v>
      </c>
      <c r="H4" s="401" t="s">
        <v>106</v>
      </c>
      <c r="I4" s="402" t="s">
        <v>107</v>
      </c>
      <c r="J4" s="401" t="s">
        <v>11</v>
      </c>
      <c r="K4" s="403" t="s">
        <v>108</v>
      </c>
      <c r="L4" s="403" t="s">
        <v>109</v>
      </c>
      <c r="N4" s="401" t="s">
        <v>106</v>
      </c>
      <c r="O4" s="402" t="s">
        <v>107</v>
      </c>
      <c r="P4" s="401" t="s">
        <v>11</v>
      </c>
      <c r="Q4" s="403" t="s">
        <v>108</v>
      </c>
      <c r="R4" s="403" t="s">
        <v>109</v>
      </c>
      <c r="S4" s="6"/>
      <c r="T4" s="6"/>
      <c r="U4" s="6"/>
      <c r="V4" s="6"/>
      <c r="W4" s="6"/>
      <c r="X4" s="6"/>
      <c r="Y4" s="6"/>
      <c r="Z4" s="6"/>
      <c r="AA4" s="6"/>
    </row>
    <row r="5" spans="2:27" s="48" customFormat="1" ht="20.100000000000001" customHeight="1" x14ac:dyDescent="0.2">
      <c r="B5" s="492"/>
      <c r="C5" s="493"/>
      <c r="D5" s="522"/>
      <c r="E5" s="495"/>
      <c r="F5" s="496"/>
      <c r="H5" s="492"/>
      <c r="I5" s="493"/>
      <c r="J5" s="523"/>
      <c r="K5" s="496"/>
      <c r="L5" s="496"/>
      <c r="N5" s="492"/>
      <c r="O5" s="493"/>
      <c r="P5" s="523"/>
      <c r="Q5" s="496"/>
      <c r="R5" s="496"/>
      <c r="S5" s="6"/>
      <c r="T5" s="6"/>
      <c r="U5" s="6"/>
      <c r="V5" s="6"/>
      <c r="W5" s="6"/>
      <c r="X5" s="6"/>
      <c r="Y5" s="6"/>
      <c r="Z5" s="6"/>
      <c r="AA5" s="6"/>
    </row>
    <row r="6" spans="2:27" s="48" customFormat="1" ht="20.100000000000001" customHeight="1" x14ac:dyDescent="0.2">
      <c r="B6" s="497"/>
      <c r="C6" s="498"/>
      <c r="D6" s="497"/>
      <c r="E6" s="500"/>
      <c r="F6" s="496"/>
      <c r="H6" s="497"/>
      <c r="I6" s="498"/>
      <c r="J6" s="524"/>
      <c r="K6" s="500"/>
      <c r="L6" s="496"/>
      <c r="N6" s="497"/>
      <c r="O6" s="498"/>
      <c r="P6" s="524"/>
      <c r="Q6" s="500"/>
      <c r="R6" s="496"/>
      <c r="S6" s="6"/>
      <c r="T6" s="6"/>
      <c r="U6" s="6"/>
      <c r="V6" s="6"/>
      <c r="W6" s="6"/>
      <c r="X6" s="6"/>
      <c r="Y6" s="6"/>
      <c r="Z6" s="6"/>
      <c r="AA6" s="6"/>
    </row>
    <row r="7" spans="2:27" s="48" customFormat="1" ht="20.100000000000001" customHeight="1" x14ac:dyDescent="0.2">
      <c r="B7" s="497"/>
      <c r="C7" s="498"/>
      <c r="D7" s="497"/>
      <c r="E7" s="500"/>
      <c r="F7" s="496"/>
      <c r="H7" s="497"/>
      <c r="I7" s="498"/>
      <c r="J7" s="524"/>
      <c r="K7" s="500"/>
      <c r="L7" s="496"/>
      <c r="N7" s="497"/>
      <c r="O7" s="498"/>
      <c r="P7" s="524"/>
      <c r="Q7" s="500"/>
      <c r="R7" s="496"/>
      <c r="S7" s="6"/>
      <c r="T7" s="6"/>
      <c r="U7" s="6"/>
      <c r="V7" s="6"/>
      <c r="W7" s="6"/>
      <c r="X7" s="6"/>
      <c r="Y7" s="6"/>
      <c r="Z7" s="6"/>
      <c r="AA7" s="6"/>
    </row>
    <row r="8" spans="2:27" s="48" customFormat="1" ht="20.100000000000001" customHeight="1" x14ac:dyDescent="0.2">
      <c r="B8" s="406" t="s">
        <v>66</v>
      </c>
      <c r="C8" s="407" t="s">
        <v>67</v>
      </c>
      <c r="D8" s="406" t="s">
        <v>110</v>
      </c>
      <c r="E8" s="501"/>
      <c r="F8" s="496"/>
      <c r="H8" s="497"/>
      <c r="I8" s="498"/>
      <c r="J8" s="524"/>
      <c r="K8" s="500"/>
      <c r="L8" s="496"/>
      <c r="N8" s="497"/>
      <c r="O8" s="498"/>
      <c r="P8" s="524"/>
      <c r="Q8" s="500"/>
      <c r="R8" s="496"/>
      <c r="S8" s="6"/>
      <c r="T8" s="6"/>
      <c r="U8" s="6"/>
      <c r="V8" s="6"/>
      <c r="W8" s="6"/>
      <c r="X8" s="6"/>
      <c r="Y8" s="6"/>
      <c r="Z8" s="6"/>
      <c r="AA8" s="6"/>
    </row>
    <row r="9" spans="2:27" s="48" customFormat="1" ht="20.100000000000001" customHeight="1" thickBot="1" x14ac:dyDescent="0.25">
      <c r="B9" s="408"/>
      <c r="C9" s="409"/>
      <c r="D9" s="410" t="s">
        <v>111</v>
      </c>
      <c r="E9" s="502"/>
      <c r="F9" s="502"/>
      <c r="H9" s="497"/>
      <c r="I9" s="498"/>
      <c r="J9" s="524"/>
      <c r="K9" s="500"/>
      <c r="L9" s="496"/>
      <c r="N9" s="497"/>
      <c r="O9" s="498"/>
      <c r="P9" s="524"/>
      <c r="Q9" s="500"/>
      <c r="R9" s="496"/>
      <c r="S9" s="6"/>
      <c r="T9" s="6"/>
      <c r="U9" s="6"/>
      <c r="V9" s="6"/>
      <c r="W9" s="6"/>
      <c r="X9" s="6"/>
      <c r="Y9" s="6"/>
      <c r="Z9" s="6"/>
      <c r="AA9" s="6"/>
    </row>
    <row r="10" spans="2:27" s="48" customFormat="1" ht="20.100000000000001" customHeight="1" thickTop="1" x14ac:dyDescent="0.2">
      <c r="C10" s="411"/>
      <c r="D10" s="393"/>
      <c r="E10" s="412"/>
      <c r="F10" s="412"/>
      <c r="H10" s="497"/>
      <c r="I10" s="498"/>
      <c r="J10" s="524"/>
      <c r="K10" s="500"/>
      <c r="L10" s="496"/>
      <c r="N10" s="497"/>
      <c r="O10" s="498"/>
      <c r="P10" s="524"/>
      <c r="Q10" s="500"/>
      <c r="R10" s="496"/>
      <c r="S10" s="6"/>
      <c r="T10" s="6"/>
      <c r="U10" s="6"/>
      <c r="V10" s="6"/>
      <c r="W10" s="6"/>
      <c r="X10" s="6"/>
      <c r="Y10" s="6"/>
      <c r="Z10" s="6"/>
      <c r="AA10" s="6"/>
    </row>
    <row r="11" spans="2:27" s="48" customFormat="1" ht="20.100000000000001" customHeight="1" x14ac:dyDescent="0.2">
      <c r="B11" s="396"/>
      <c r="C11" s="397"/>
      <c r="D11" s="398" t="str">
        <f>IF(F11="","",VLOOKUP(F11,KTOPL,2,0))</f>
        <v>Eröffnungsbilanzkonto (EBK)</v>
      </c>
      <c r="E11" s="399" t="s">
        <v>105</v>
      </c>
      <c r="F11" s="400" t="s">
        <v>128</v>
      </c>
      <c r="H11" s="497"/>
      <c r="I11" s="498"/>
      <c r="J11" s="524"/>
      <c r="K11" s="500"/>
      <c r="L11" s="496"/>
      <c r="N11" s="497"/>
      <c r="O11" s="498"/>
      <c r="P11" s="524"/>
      <c r="Q11" s="500"/>
      <c r="R11" s="496"/>
      <c r="S11" s="6"/>
      <c r="T11" s="6"/>
      <c r="U11" s="6"/>
      <c r="V11" s="6"/>
      <c r="W11" s="6"/>
      <c r="X11" s="6"/>
      <c r="Y11" s="6"/>
      <c r="Z11" s="6"/>
      <c r="AA11" s="6"/>
    </row>
    <row r="12" spans="2:27" s="48" customFormat="1" ht="20.100000000000001" customHeight="1" x14ac:dyDescent="0.2">
      <c r="B12" s="401" t="s">
        <v>106</v>
      </c>
      <c r="C12" s="402" t="s">
        <v>107</v>
      </c>
      <c r="D12" s="401" t="s">
        <v>11</v>
      </c>
      <c r="E12" s="403" t="s">
        <v>108</v>
      </c>
      <c r="F12" s="403" t="s">
        <v>109</v>
      </c>
      <c r="H12" s="497"/>
      <c r="I12" s="498"/>
      <c r="J12" s="524"/>
      <c r="K12" s="500"/>
      <c r="L12" s="496"/>
      <c r="N12" s="497"/>
      <c r="O12" s="498"/>
      <c r="P12" s="524"/>
      <c r="Q12" s="500"/>
      <c r="R12" s="496"/>
      <c r="S12" s="6"/>
      <c r="T12" s="6"/>
      <c r="U12" s="6"/>
      <c r="V12" s="6"/>
      <c r="W12" s="6"/>
      <c r="X12" s="6"/>
      <c r="Y12" s="6"/>
      <c r="Z12" s="6"/>
      <c r="AA12" s="6"/>
    </row>
    <row r="13" spans="2:27" s="48" customFormat="1" ht="20.100000000000001" customHeight="1" x14ac:dyDescent="0.2">
      <c r="B13" s="492"/>
      <c r="C13" s="493"/>
      <c r="D13" s="522"/>
      <c r="E13" s="495"/>
      <c r="F13" s="496"/>
      <c r="H13" s="497"/>
      <c r="I13" s="498"/>
      <c r="J13" s="524"/>
      <c r="K13" s="500"/>
      <c r="L13" s="496"/>
      <c r="N13" s="406" t="s">
        <v>66</v>
      </c>
      <c r="O13" s="407" t="s">
        <v>67</v>
      </c>
      <c r="P13" s="413" t="s">
        <v>110</v>
      </c>
      <c r="Q13" s="501"/>
      <c r="R13" s="496"/>
      <c r="S13" s="6"/>
      <c r="T13" s="6"/>
      <c r="U13" s="6"/>
      <c r="V13" s="6"/>
      <c r="W13" s="6"/>
      <c r="X13" s="6"/>
      <c r="Y13" s="6"/>
      <c r="Z13" s="6"/>
      <c r="AA13" s="6"/>
    </row>
    <row r="14" spans="2:27" s="48" customFormat="1" ht="20.100000000000001" customHeight="1" thickBot="1" x14ac:dyDescent="0.25">
      <c r="B14" s="497"/>
      <c r="C14" s="498"/>
      <c r="D14" s="497"/>
      <c r="E14" s="500"/>
      <c r="F14" s="496"/>
      <c r="H14" s="497"/>
      <c r="I14" s="498"/>
      <c r="J14" s="524"/>
      <c r="K14" s="500"/>
      <c r="L14" s="496"/>
      <c r="N14" s="408"/>
      <c r="O14" s="409"/>
      <c r="P14" s="410" t="s">
        <v>111</v>
      </c>
      <c r="Q14" s="502"/>
      <c r="R14" s="502"/>
      <c r="S14" s="6"/>
      <c r="T14" s="6"/>
      <c r="U14" s="6"/>
      <c r="V14" s="6"/>
      <c r="W14" s="6"/>
      <c r="X14" s="6"/>
      <c r="Y14" s="6"/>
      <c r="Z14" s="6"/>
      <c r="AA14" s="6"/>
    </row>
    <row r="15" spans="2:27" s="48" customFormat="1" ht="20.100000000000001" customHeight="1" thickTop="1" x14ac:dyDescent="0.2">
      <c r="B15" s="497"/>
      <c r="C15" s="498"/>
      <c r="D15" s="497"/>
      <c r="E15" s="500"/>
      <c r="F15" s="496"/>
      <c r="H15" s="497"/>
      <c r="I15" s="498"/>
      <c r="J15" s="524"/>
      <c r="K15" s="500"/>
      <c r="L15" s="496"/>
      <c r="O15" s="411"/>
      <c r="P15" s="393"/>
      <c r="Q15" s="412"/>
      <c r="R15" s="412"/>
      <c r="S15" s="6"/>
      <c r="T15" s="6"/>
      <c r="U15" s="6"/>
      <c r="V15" s="6"/>
      <c r="W15" s="6"/>
      <c r="X15" s="6"/>
      <c r="Y15" s="6"/>
      <c r="Z15" s="6"/>
      <c r="AA15" s="6"/>
    </row>
    <row r="16" spans="2:27" s="48" customFormat="1" ht="20.100000000000001" customHeight="1" x14ac:dyDescent="0.2">
      <c r="B16" s="497"/>
      <c r="C16" s="498"/>
      <c r="D16" s="497"/>
      <c r="E16" s="500"/>
      <c r="F16" s="496"/>
      <c r="H16" s="497" t="str">
        <f>IF(J16="","","SB")</f>
        <v/>
      </c>
      <c r="I16" s="498" t="str">
        <f>IF(H16="","","31.12.")</f>
        <v/>
      </c>
      <c r="J16" s="524"/>
      <c r="K16" s="500"/>
      <c r="L16" s="496"/>
      <c r="N16" s="552" t="str">
        <f>IF(R16="","",VLOOKUP(R16,KTOPL,2,0))</f>
        <v/>
      </c>
      <c r="O16" s="553"/>
      <c r="P16" s="553"/>
      <c r="Q16" s="399" t="s">
        <v>105</v>
      </c>
      <c r="R16" s="528"/>
      <c r="S16" s="6"/>
      <c r="T16" s="6"/>
      <c r="U16" s="6"/>
      <c r="V16" s="6"/>
      <c r="W16" s="6"/>
      <c r="X16" s="6"/>
      <c r="Y16" s="6"/>
      <c r="Z16" s="6"/>
      <c r="AA16" s="6"/>
    </row>
    <row r="17" spans="2:27" s="48" customFormat="1" ht="20.100000000000001" customHeight="1" x14ac:dyDescent="0.2">
      <c r="B17" s="497"/>
      <c r="C17" s="498"/>
      <c r="D17" s="497"/>
      <c r="E17" s="500"/>
      <c r="F17" s="496"/>
      <c r="H17" s="497" t="str">
        <f>IF(J17="","","SB")</f>
        <v/>
      </c>
      <c r="I17" s="498" t="str">
        <f>IF(H17="","","31.12.")</f>
        <v/>
      </c>
      <c r="J17" s="524"/>
      <c r="K17" s="500"/>
      <c r="L17" s="496"/>
      <c r="N17" s="401" t="s">
        <v>106</v>
      </c>
      <c r="O17" s="402" t="s">
        <v>107</v>
      </c>
      <c r="P17" s="401" t="s">
        <v>11</v>
      </c>
      <c r="Q17" s="403" t="s">
        <v>108</v>
      </c>
      <c r="R17" s="403" t="s">
        <v>109</v>
      </c>
      <c r="S17" s="6"/>
      <c r="T17" s="6"/>
      <c r="U17" s="6"/>
      <c r="V17" s="6"/>
      <c r="W17" s="6"/>
      <c r="X17" s="6"/>
      <c r="Y17" s="6"/>
      <c r="Z17" s="6"/>
      <c r="AA17" s="6"/>
    </row>
    <row r="18" spans="2:27" s="48" customFormat="1" ht="20.100000000000001" customHeight="1" x14ac:dyDescent="0.2">
      <c r="B18" s="497"/>
      <c r="C18" s="498"/>
      <c r="D18" s="497"/>
      <c r="E18" s="500"/>
      <c r="F18" s="496"/>
      <c r="H18" s="406" t="s">
        <v>66</v>
      </c>
      <c r="I18" s="407" t="s">
        <v>67</v>
      </c>
      <c r="J18" s="413" t="s">
        <v>110</v>
      </c>
      <c r="K18" s="501"/>
      <c r="L18" s="496"/>
      <c r="N18" s="492"/>
      <c r="O18" s="493"/>
      <c r="P18" s="524"/>
      <c r="Q18" s="495"/>
      <c r="R18" s="496"/>
      <c r="S18" s="6"/>
      <c r="T18" s="6"/>
      <c r="U18" s="6"/>
      <c r="V18" s="6"/>
      <c r="W18" s="6"/>
      <c r="X18" s="6"/>
      <c r="Y18" s="6"/>
      <c r="Z18" s="6"/>
      <c r="AA18" s="6"/>
    </row>
    <row r="19" spans="2:27" s="48" customFormat="1" ht="20.100000000000001" customHeight="1" thickBot="1" x14ac:dyDescent="0.25">
      <c r="B19" s="497"/>
      <c r="C19" s="498"/>
      <c r="D19" s="497"/>
      <c r="E19" s="500"/>
      <c r="F19" s="496"/>
      <c r="H19" s="408"/>
      <c r="I19" s="409"/>
      <c r="J19" s="410" t="s">
        <v>111</v>
      </c>
      <c r="K19" s="502"/>
      <c r="L19" s="502"/>
      <c r="N19" s="497"/>
      <c r="O19" s="498"/>
      <c r="P19" s="524"/>
      <c r="Q19" s="500"/>
      <c r="R19" s="496"/>
      <c r="S19" s="6"/>
      <c r="T19" s="6"/>
      <c r="U19" s="6"/>
      <c r="V19" s="6"/>
      <c r="W19" s="6"/>
      <c r="X19" s="6"/>
      <c r="Y19" s="6"/>
      <c r="Z19" s="6"/>
      <c r="AA19" s="6"/>
    </row>
    <row r="20" spans="2:27" s="48" customFormat="1" ht="20.100000000000001" customHeight="1" thickTop="1" x14ac:dyDescent="0.2">
      <c r="B20" s="497"/>
      <c r="C20" s="498"/>
      <c r="D20" s="497"/>
      <c r="E20" s="500"/>
      <c r="F20" s="496"/>
      <c r="I20" s="411"/>
      <c r="J20" s="393"/>
      <c r="K20" s="412"/>
      <c r="L20" s="412"/>
      <c r="N20" s="497"/>
      <c r="O20" s="498"/>
      <c r="P20" s="524"/>
      <c r="Q20" s="500"/>
      <c r="R20" s="496"/>
      <c r="S20" s="6"/>
      <c r="T20" s="6"/>
      <c r="U20" s="6"/>
      <c r="V20" s="6"/>
      <c r="W20" s="6"/>
      <c r="X20" s="6"/>
      <c r="Y20" s="6"/>
      <c r="Z20" s="6"/>
      <c r="AA20" s="6"/>
    </row>
    <row r="21" spans="2:27" s="48" customFormat="1" ht="20.100000000000001" customHeight="1" x14ac:dyDescent="0.2">
      <c r="B21" s="497"/>
      <c r="C21" s="498"/>
      <c r="D21" s="497"/>
      <c r="E21" s="500"/>
      <c r="F21" s="496"/>
      <c r="H21" s="396"/>
      <c r="I21" s="397"/>
      <c r="J21" s="398" t="str">
        <f>IF(L21="","",VLOOKUP(L21,KTOPL,2,0))</f>
        <v>Kapital</v>
      </c>
      <c r="K21" s="399" t="s">
        <v>105</v>
      </c>
      <c r="L21" s="400" t="s">
        <v>129</v>
      </c>
      <c r="N21" s="406" t="s">
        <v>66</v>
      </c>
      <c r="O21" s="407" t="s">
        <v>67</v>
      </c>
      <c r="P21" s="413" t="s">
        <v>110</v>
      </c>
      <c r="Q21" s="501"/>
      <c r="R21" s="496"/>
      <c r="S21" s="6"/>
      <c r="T21" s="6"/>
      <c r="U21" s="6"/>
      <c r="V21" s="6"/>
      <c r="W21" s="6"/>
      <c r="X21" s="6"/>
      <c r="Y21" s="6"/>
      <c r="Z21" s="6"/>
      <c r="AA21" s="6"/>
    </row>
    <row r="22" spans="2:27" s="48" customFormat="1" ht="20.100000000000001" customHeight="1" thickBot="1" x14ac:dyDescent="0.25">
      <c r="B22" s="497"/>
      <c r="C22" s="498"/>
      <c r="D22" s="497"/>
      <c r="E22" s="500"/>
      <c r="F22" s="496"/>
      <c r="H22" s="401" t="s">
        <v>106</v>
      </c>
      <c r="I22" s="402" t="s">
        <v>107</v>
      </c>
      <c r="J22" s="401" t="s">
        <v>11</v>
      </c>
      <c r="K22" s="403" t="s">
        <v>108</v>
      </c>
      <c r="L22" s="403" t="s">
        <v>109</v>
      </c>
      <c r="N22" s="408"/>
      <c r="O22" s="409"/>
      <c r="P22" s="410" t="s">
        <v>111</v>
      </c>
      <c r="Q22" s="502"/>
      <c r="R22" s="502"/>
      <c r="S22" s="6"/>
      <c r="T22" s="6"/>
      <c r="U22" s="6"/>
      <c r="V22" s="6"/>
      <c r="W22" s="6"/>
      <c r="X22" s="6"/>
      <c r="Y22" s="6"/>
      <c r="Z22" s="6"/>
      <c r="AA22" s="6"/>
    </row>
    <row r="23" spans="2:27" s="48" customFormat="1" ht="20.100000000000001" customHeight="1" thickTop="1" x14ac:dyDescent="0.2">
      <c r="B23" s="497"/>
      <c r="C23" s="498"/>
      <c r="D23" s="497"/>
      <c r="E23" s="500"/>
      <c r="F23" s="496"/>
      <c r="H23" s="492"/>
      <c r="I23" s="493"/>
      <c r="J23" s="523"/>
      <c r="K23" s="496"/>
      <c r="L23" s="496"/>
      <c r="O23" s="411"/>
      <c r="P23" s="393"/>
      <c r="Q23" s="412"/>
      <c r="R23" s="412"/>
      <c r="S23" s="6"/>
      <c r="T23" s="6"/>
      <c r="U23" s="6"/>
      <c r="V23" s="6"/>
      <c r="W23" s="6"/>
      <c r="X23" s="6"/>
      <c r="Y23" s="6"/>
      <c r="Z23" s="6"/>
      <c r="AA23" s="6"/>
    </row>
    <row r="24" spans="2:27" s="48" customFormat="1" ht="20.100000000000001" customHeight="1" x14ac:dyDescent="0.2">
      <c r="B24" s="497"/>
      <c r="C24" s="498"/>
      <c r="D24" s="497"/>
      <c r="E24" s="500"/>
      <c r="F24" s="496"/>
      <c r="H24" s="497"/>
      <c r="I24" s="498"/>
      <c r="J24" s="524"/>
      <c r="K24" s="500"/>
      <c r="L24" s="496"/>
      <c r="N24" s="396"/>
      <c r="O24" s="397"/>
      <c r="P24" s="398" t="str">
        <f>IF(R24="","",VLOOKUP(R24,KTOPL,2,0))</f>
        <v/>
      </c>
      <c r="Q24" s="399" t="s">
        <v>105</v>
      </c>
      <c r="R24" s="528"/>
      <c r="S24" s="6"/>
      <c r="T24" s="6"/>
      <c r="U24" s="6"/>
      <c r="V24" s="6"/>
      <c r="W24" s="6"/>
      <c r="X24" s="6"/>
      <c r="Y24" s="6"/>
      <c r="Z24" s="6"/>
      <c r="AA24" s="6"/>
    </row>
    <row r="25" spans="2:27" s="48" customFormat="1" ht="20.100000000000001" customHeight="1" x14ac:dyDescent="0.2">
      <c r="B25" s="497"/>
      <c r="C25" s="498"/>
      <c r="D25" s="497"/>
      <c r="E25" s="500"/>
      <c r="F25" s="496"/>
      <c r="H25" s="497"/>
      <c r="I25" s="498"/>
      <c r="J25" s="524"/>
      <c r="K25" s="500"/>
      <c r="L25" s="496"/>
      <c r="N25" s="401" t="s">
        <v>106</v>
      </c>
      <c r="O25" s="402" t="s">
        <v>107</v>
      </c>
      <c r="P25" s="401" t="s">
        <v>11</v>
      </c>
      <c r="Q25" s="403" t="s">
        <v>108</v>
      </c>
      <c r="R25" s="403" t="s">
        <v>109</v>
      </c>
      <c r="S25" s="6"/>
      <c r="T25" s="6"/>
      <c r="U25" s="6"/>
      <c r="V25" s="6"/>
      <c r="W25" s="6"/>
      <c r="X25" s="6"/>
      <c r="Y25" s="6"/>
      <c r="Z25" s="6"/>
      <c r="AA25" s="6"/>
    </row>
    <row r="26" spans="2:27" s="48" customFormat="1" ht="20.100000000000001" customHeight="1" x14ac:dyDescent="0.2">
      <c r="B26" s="497"/>
      <c r="C26" s="498"/>
      <c r="D26" s="497"/>
      <c r="E26" s="500"/>
      <c r="F26" s="496"/>
      <c r="H26" s="497"/>
      <c r="I26" s="498"/>
      <c r="J26" s="524"/>
      <c r="K26" s="500"/>
      <c r="L26" s="496"/>
      <c r="N26" s="492"/>
      <c r="O26" s="493"/>
      <c r="P26" s="523"/>
      <c r="Q26" s="496"/>
      <c r="R26" s="496"/>
      <c r="S26" s="6"/>
      <c r="T26" s="6"/>
      <c r="U26" s="6"/>
      <c r="V26" s="6"/>
      <c r="W26" s="6"/>
      <c r="X26" s="6"/>
      <c r="Y26" s="6"/>
      <c r="Z26" s="6"/>
      <c r="AA26" s="6"/>
    </row>
    <row r="27" spans="2:27" s="48" customFormat="1" ht="20.100000000000001" customHeight="1" x14ac:dyDescent="0.2">
      <c r="B27" s="497"/>
      <c r="C27" s="498"/>
      <c r="D27" s="497"/>
      <c r="E27" s="500"/>
      <c r="F27" s="496"/>
      <c r="H27" s="497"/>
      <c r="I27" s="498"/>
      <c r="J27" s="524"/>
      <c r="K27" s="500"/>
      <c r="L27" s="496"/>
      <c r="N27" s="497"/>
      <c r="O27" s="498"/>
      <c r="P27" s="524"/>
      <c r="Q27" s="500"/>
      <c r="R27" s="496"/>
      <c r="S27" s="6"/>
      <c r="T27" s="6"/>
      <c r="U27" s="6"/>
      <c r="V27" s="6"/>
      <c r="W27" s="6"/>
      <c r="X27" s="6"/>
      <c r="Y27" s="6"/>
      <c r="Z27" s="6"/>
      <c r="AA27" s="6"/>
    </row>
    <row r="28" spans="2:27" s="48" customFormat="1" ht="20.100000000000001" customHeight="1" x14ac:dyDescent="0.2">
      <c r="B28" s="497"/>
      <c r="C28" s="498"/>
      <c r="D28" s="497"/>
      <c r="E28" s="500"/>
      <c r="F28" s="496"/>
      <c r="H28" s="497" t="str">
        <f>IF(J28="","","SB")</f>
        <v/>
      </c>
      <c r="I28" s="498" t="str">
        <f>IF(H28="","","31.12.")</f>
        <v/>
      </c>
      <c r="J28" s="524"/>
      <c r="K28" s="500"/>
      <c r="L28" s="496"/>
      <c r="N28" s="497"/>
      <c r="O28" s="498"/>
      <c r="P28" s="524"/>
      <c r="Q28" s="500"/>
      <c r="R28" s="496"/>
      <c r="S28" s="6"/>
      <c r="T28" s="6"/>
      <c r="U28" s="6"/>
      <c r="V28" s="6"/>
      <c r="W28" s="6"/>
      <c r="X28" s="6"/>
      <c r="Y28" s="6"/>
      <c r="Z28" s="6"/>
      <c r="AA28" s="6"/>
    </row>
    <row r="29" spans="2:27" s="48" customFormat="1" ht="20.100000000000001" customHeight="1" x14ac:dyDescent="0.2">
      <c r="B29" s="406" t="s">
        <v>66</v>
      </c>
      <c r="C29" s="407" t="s">
        <v>67</v>
      </c>
      <c r="D29" s="406" t="s">
        <v>110</v>
      </c>
      <c r="E29" s="501"/>
      <c r="F29" s="496"/>
      <c r="H29" s="525"/>
      <c r="I29" s="526"/>
      <c r="J29" s="527"/>
      <c r="K29" s="501"/>
      <c r="L29" s="496"/>
      <c r="N29" s="406" t="s">
        <v>66</v>
      </c>
      <c r="O29" s="407" t="s">
        <v>67</v>
      </c>
      <c r="P29" s="413" t="s">
        <v>110</v>
      </c>
      <c r="Q29" s="501"/>
      <c r="R29" s="496"/>
      <c r="S29" s="6"/>
      <c r="T29" s="6"/>
      <c r="U29" s="6"/>
      <c r="V29" s="6"/>
      <c r="W29" s="6"/>
      <c r="X29" s="6"/>
      <c r="Y29" s="6"/>
      <c r="Z29" s="6"/>
      <c r="AA29" s="6"/>
    </row>
    <row r="30" spans="2:27" s="48" customFormat="1" ht="20.100000000000001" customHeight="1" thickBot="1" x14ac:dyDescent="0.25">
      <c r="B30" s="408"/>
      <c r="C30" s="409"/>
      <c r="D30" s="410" t="s">
        <v>111</v>
      </c>
      <c r="E30" s="502"/>
      <c r="F30" s="502"/>
      <c r="H30" s="408"/>
      <c r="I30" s="409"/>
      <c r="J30" s="410" t="s">
        <v>111</v>
      </c>
      <c r="K30" s="502"/>
      <c r="L30" s="502"/>
      <c r="N30" s="408"/>
      <c r="O30" s="409"/>
      <c r="P30" s="410" t="s">
        <v>111</v>
      </c>
      <c r="Q30" s="502"/>
      <c r="R30" s="502"/>
      <c r="S30" s="6"/>
      <c r="T30" s="6"/>
      <c r="U30" s="6"/>
      <c r="V30" s="6"/>
      <c r="W30" s="6"/>
      <c r="X30" s="6"/>
      <c r="Y30" s="6"/>
      <c r="Z30" s="6"/>
      <c r="AA30" s="6"/>
    </row>
    <row r="31" spans="2:27" s="48" customFormat="1" ht="20.100000000000001" customHeight="1" thickTop="1" x14ac:dyDescent="0.25">
      <c r="B31" s="95"/>
      <c r="C31" s="95"/>
      <c r="D31" s="95"/>
      <c r="E31" s="95"/>
      <c r="F31" s="95"/>
      <c r="I31" s="411"/>
      <c r="J31" s="393"/>
      <c r="K31" s="412"/>
      <c r="L31" s="412"/>
      <c r="O31" s="411"/>
      <c r="P31" s="393"/>
      <c r="Q31" s="412"/>
      <c r="R31" s="412"/>
      <c r="S31" s="6"/>
      <c r="T31" s="6"/>
      <c r="U31" s="6"/>
      <c r="V31" s="6"/>
      <c r="W31" s="6"/>
      <c r="X31" s="6"/>
      <c r="Y31" s="6"/>
      <c r="Z31" s="6"/>
      <c r="AA31" s="6"/>
    </row>
    <row r="32" spans="2:27" s="48" customFormat="1" ht="20.100000000000001" customHeight="1" x14ac:dyDescent="0.25">
      <c r="B32" s="95"/>
      <c r="C32" s="95"/>
      <c r="D32" s="95"/>
      <c r="E32" s="95"/>
      <c r="F32" s="95"/>
      <c r="I32" s="411"/>
      <c r="J32" s="393"/>
      <c r="K32" s="412"/>
      <c r="L32" s="412"/>
      <c r="O32" s="411"/>
      <c r="P32" s="393"/>
      <c r="Q32" s="412"/>
      <c r="R32" s="412"/>
      <c r="S32" s="6"/>
      <c r="T32" s="6"/>
      <c r="U32" s="6"/>
      <c r="V32" s="6"/>
      <c r="W32" s="6"/>
      <c r="X32" s="6"/>
      <c r="Y32" s="6"/>
      <c r="Z32" s="6"/>
      <c r="AA32" s="6"/>
    </row>
    <row r="33" spans="2:27" s="48" customFormat="1" ht="12.75" customHeight="1" x14ac:dyDescent="0.25">
      <c r="B33" s="95"/>
      <c r="C33" s="95"/>
      <c r="D33" s="95"/>
      <c r="E33" s="95"/>
      <c r="F33" s="95"/>
      <c r="I33" s="411"/>
      <c r="J33" s="393"/>
      <c r="K33" s="412"/>
      <c r="L33" s="412"/>
      <c r="O33" s="411"/>
      <c r="P33" s="393"/>
      <c r="Q33" s="412"/>
      <c r="R33" s="412"/>
      <c r="S33" s="6"/>
      <c r="T33" s="6"/>
      <c r="U33" s="6"/>
      <c r="V33" s="6"/>
      <c r="W33" s="6"/>
      <c r="X33" s="6"/>
      <c r="Y33" s="6"/>
      <c r="Z33" s="6"/>
      <c r="AA33" s="6"/>
    </row>
    <row r="34" spans="2:27" s="48" customFormat="1" ht="12.75" customHeight="1" x14ac:dyDescent="0.25">
      <c r="B34" s="95"/>
      <c r="C34" s="95"/>
      <c r="D34" s="95"/>
      <c r="E34" s="95"/>
      <c r="F34" s="95"/>
      <c r="I34" s="411"/>
      <c r="J34" s="393"/>
      <c r="K34" s="412"/>
      <c r="L34" s="412"/>
      <c r="O34" s="411"/>
      <c r="P34" s="393"/>
      <c r="Q34" s="412"/>
      <c r="R34" s="412"/>
      <c r="S34" s="6"/>
      <c r="T34" s="6"/>
      <c r="U34" s="6"/>
      <c r="V34" s="6"/>
      <c r="W34" s="6"/>
      <c r="X34" s="6"/>
      <c r="Y34" s="6"/>
      <c r="Z34" s="6"/>
      <c r="AA34" s="6"/>
    </row>
    <row r="35" spans="2:27" s="48" customFormat="1" ht="12.75" customHeight="1" x14ac:dyDescent="0.25">
      <c r="B35" s="95"/>
      <c r="C35" s="95"/>
      <c r="D35" s="95"/>
      <c r="E35" s="95"/>
      <c r="F35" s="95"/>
      <c r="I35" s="411"/>
      <c r="J35" s="393"/>
      <c r="K35" s="412"/>
      <c r="L35" s="412"/>
      <c r="O35" s="411"/>
      <c r="P35" s="393"/>
      <c r="Q35" s="412"/>
      <c r="R35" s="412"/>
      <c r="S35" s="6"/>
      <c r="T35" s="6"/>
      <c r="U35" s="6"/>
      <c r="V35" s="6"/>
      <c r="W35" s="6"/>
      <c r="X35" s="6"/>
      <c r="Y35" s="6"/>
      <c r="Z35" s="6"/>
      <c r="AA35" s="6"/>
    </row>
    <row r="36" spans="2:27" s="48" customFormat="1" ht="12.75" customHeight="1" x14ac:dyDescent="0.2">
      <c r="C36" s="411"/>
      <c r="D36" s="393"/>
      <c r="E36" s="412"/>
      <c r="F36" s="412"/>
      <c r="I36" s="411"/>
      <c r="J36" s="393"/>
      <c r="K36" s="412"/>
      <c r="L36" s="412"/>
      <c r="O36" s="411"/>
      <c r="P36" s="393"/>
      <c r="Q36" s="412"/>
      <c r="R36" s="412"/>
      <c r="S36" s="6"/>
      <c r="T36" s="6"/>
      <c r="U36" s="6"/>
      <c r="V36" s="6"/>
      <c r="W36" s="6"/>
      <c r="X36" s="6"/>
      <c r="Y36" s="6"/>
      <c r="Z36" s="6"/>
      <c r="AA36" s="6"/>
    </row>
    <row r="37" spans="2:27" s="48" customFormat="1" ht="12.75" customHeight="1" x14ac:dyDescent="0.2">
      <c r="C37" s="411"/>
      <c r="D37" s="393"/>
      <c r="E37" s="412"/>
      <c r="F37" s="412"/>
      <c r="I37" s="411"/>
      <c r="J37" s="393"/>
      <c r="K37" s="412"/>
      <c r="L37" s="412"/>
      <c r="O37" s="411"/>
      <c r="P37" s="393"/>
      <c r="Q37" s="412"/>
      <c r="R37" s="412"/>
      <c r="S37" s="6"/>
      <c r="T37" s="6"/>
      <c r="U37" s="6"/>
      <c r="V37" s="6"/>
      <c r="W37" s="6"/>
      <c r="X37" s="6"/>
      <c r="Y37" s="6"/>
      <c r="Z37" s="6"/>
      <c r="AA37" s="6"/>
    </row>
    <row r="38" spans="2:27" s="48" customFormat="1" ht="12.75" customHeight="1" x14ac:dyDescent="0.2">
      <c r="C38" s="411"/>
      <c r="D38" s="393"/>
      <c r="E38" s="412"/>
      <c r="F38" s="412"/>
      <c r="I38" s="411"/>
      <c r="J38" s="393"/>
      <c r="K38" s="412"/>
      <c r="L38" s="412"/>
      <c r="O38" s="411"/>
      <c r="P38" s="393"/>
      <c r="Q38" s="412"/>
      <c r="R38" s="412"/>
      <c r="S38" s="6"/>
      <c r="T38" s="6"/>
      <c r="U38" s="6"/>
      <c r="V38" s="6"/>
      <c r="W38" s="6"/>
      <c r="X38" s="6"/>
      <c r="Y38" s="6"/>
      <c r="Z38" s="6"/>
      <c r="AA38" s="6"/>
    </row>
    <row r="39" spans="2:27" s="48" customFormat="1" ht="12.75" hidden="1" customHeight="1" x14ac:dyDescent="0.2">
      <c r="C39" s="411"/>
      <c r="D39" s="393"/>
      <c r="E39" s="412"/>
      <c r="F39" s="412"/>
      <c r="I39" s="411"/>
      <c r="J39" s="393"/>
      <c r="K39" s="412"/>
      <c r="L39" s="412"/>
      <c r="O39" s="411"/>
      <c r="P39" s="393"/>
      <c r="Q39" s="412"/>
      <c r="R39" s="412"/>
      <c r="S39" s="6"/>
      <c r="T39" s="6"/>
      <c r="U39" s="6"/>
      <c r="V39" s="6"/>
      <c r="W39" s="6"/>
      <c r="X39" s="6"/>
      <c r="Y39" s="6"/>
      <c r="Z39" s="6"/>
      <c r="AA39" s="6"/>
    </row>
    <row r="40" spans="2:27" s="48" customFormat="1" ht="12.75" hidden="1" customHeight="1" thickBot="1" x14ac:dyDescent="0.25">
      <c r="B40" s="414" t="s">
        <v>130</v>
      </c>
      <c r="C40" s="415"/>
      <c r="D40" s="416"/>
      <c r="E40" s="417"/>
      <c r="F40" s="417"/>
      <c r="G40" s="415"/>
      <c r="H40" s="415"/>
      <c r="I40" s="418"/>
      <c r="J40" s="415"/>
      <c r="K40" s="415"/>
      <c r="L40" s="412"/>
      <c r="O40" s="411"/>
      <c r="P40" s="393"/>
      <c r="Q40" s="412"/>
      <c r="R40" s="412"/>
      <c r="S40" s="6"/>
      <c r="T40" s="6"/>
      <c r="U40" s="6"/>
      <c r="V40" s="6"/>
      <c r="W40" s="6"/>
      <c r="X40" s="6"/>
      <c r="Y40" s="6"/>
      <c r="Z40" s="6"/>
      <c r="AA40" s="6"/>
    </row>
    <row r="41" spans="2:27" s="48" customFormat="1" ht="12.75" hidden="1" customHeight="1" x14ac:dyDescent="0.2">
      <c r="B41" s="37">
        <v>1</v>
      </c>
      <c r="C41" s="38" t="str">
        <f>IF(D41="","",MID(D41,1,FIND(": ",D41,1)-1)&amp;K41)</f>
        <v/>
      </c>
      <c r="D41" s="38" t="str">
        <f>IF(OR($F$3="",AND(E5="",F5="")),"",CONCATENATE($F$3,": ",IF(D5="","",D5&amp;", "),IF(E5="","xxxx",TEXT(E5,"# ##0,-")),", ",IF(F5="","xxxx",TEXT(F5,"# ##0,-"))))</f>
        <v/>
      </c>
      <c r="E41" s="419"/>
      <c r="F41" s="419"/>
      <c r="G41" s="38"/>
      <c r="H41" s="38"/>
      <c r="I41" s="420"/>
      <c r="J41" s="38"/>
      <c r="K41" s="38" t="str">
        <f>IF(D5="","",MID(D5,1,15))</f>
        <v/>
      </c>
      <c r="L41" s="412"/>
      <c r="O41" s="411"/>
      <c r="P41" s="393"/>
      <c r="Q41" s="412"/>
      <c r="R41" s="412"/>
      <c r="S41" s="6"/>
      <c r="T41" s="6"/>
      <c r="U41" s="6"/>
      <c r="V41" s="6"/>
      <c r="W41" s="6"/>
      <c r="X41" s="6"/>
      <c r="Y41" s="6"/>
      <c r="Z41" s="6"/>
      <c r="AA41" s="6"/>
    </row>
    <row r="42" spans="2:27" s="48" customFormat="1" ht="12.75" hidden="1" customHeight="1" x14ac:dyDescent="0.2">
      <c r="B42" s="42">
        <v>2</v>
      </c>
      <c r="C42" s="38" t="str">
        <f t="shared" ref="C42:C105" si="0">IF(D42="","",MID(D42,1,FIND(": ",D42,1)-1)&amp;K42)</f>
        <v/>
      </c>
      <c r="D42" s="38" t="str">
        <f>IF(OR($F$3="",AND(E6="",F6="")),"",CONCATENATE($F$3,": ",IF(D6="","",D6&amp;", "),IF(E6="","xxxx",TEXT(E6,"# ##0,-")),", ",IF(F6="","xxxx",TEXT(F6,"# ##0,-"))))</f>
        <v/>
      </c>
      <c r="E42" s="421"/>
      <c r="F42" s="421"/>
      <c r="G42" s="43"/>
      <c r="H42" s="43"/>
      <c r="I42" s="422"/>
      <c r="J42" s="43"/>
      <c r="K42" s="38" t="str">
        <f>IF(D6="","",MID(D6,1,15))</f>
        <v/>
      </c>
      <c r="L42" s="412"/>
      <c r="O42" s="411"/>
      <c r="P42" s="393"/>
      <c r="Q42" s="412"/>
      <c r="R42" s="412"/>
      <c r="S42" s="6"/>
      <c r="T42" s="6"/>
      <c r="U42" s="6"/>
      <c r="V42" s="6"/>
      <c r="W42" s="6"/>
      <c r="X42" s="6"/>
      <c r="Y42" s="6"/>
      <c r="Z42" s="6"/>
      <c r="AA42" s="6"/>
    </row>
    <row r="43" spans="2:27" s="48" customFormat="1" ht="12.75" hidden="1" customHeight="1" x14ac:dyDescent="0.2">
      <c r="B43" s="42">
        <v>3</v>
      </c>
      <c r="C43" s="38" t="str">
        <f t="shared" si="0"/>
        <v/>
      </c>
      <c r="D43" s="38" t="str">
        <f>IF(OR($F$3="",AND(E7="",F7="")),"",CONCATENATE($F$3,": ",IF(D7="","",D7&amp;", "),IF(E7="","xxxx",TEXT(E7,"# ##0,-")),", ",IF(F7="","xxxx",TEXT(F7,"# ##0,-"))))</f>
        <v/>
      </c>
      <c r="E43" s="421"/>
      <c r="F43" s="421"/>
      <c r="G43" s="43"/>
      <c r="H43" s="43"/>
      <c r="I43" s="422"/>
      <c r="J43" s="43"/>
      <c r="K43" s="38" t="str">
        <f>IF(D7="","",MID(D7,1,15))</f>
        <v/>
      </c>
      <c r="L43" s="412"/>
      <c r="O43" s="411"/>
      <c r="P43" s="393"/>
      <c r="Q43" s="412"/>
      <c r="R43" s="412"/>
      <c r="S43" s="6"/>
      <c r="T43" s="6"/>
      <c r="U43" s="6"/>
      <c r="V43" s="6"/>
      <c r="W43" s="6"/>
      <c r="X43" s="6"/>
      <c r="Y43" s="6"/>
      <c r="Z43" s="6"/>
      <c r="AA43" s="6"/>
    </row>
    <row r="44" spans="2:27" s="48" customFormat="1" ht="12.75" hidden="1" customHeight="1" x14ac:dyDescent="0.2">
      <c r="B44" s="42">
        <v>4</v>
      </c>
      <c r="C44" s="38" t="str">
        <f t="shared" si="0"/>
        <v/>
      </c>
      <c r="D44" s="38" t="str">
        <f>IF(OR($F$3="",AND(E8="",F8="")),"",CONCATENATE($F$3,": ",IF(D8="","",D8&amp;", "),IF(E8="","xxxx",TEXT(E8,"# ##0,-")),", ",IF(F8="","xxxx",TEXT(F8,"# ##0,-"))))</f>
        <v/>
      </c>
      <c r="E44" s="421"/>
      <c r="F44" s="421"/>
      <c r="G44" s="43"/>
      <c r="H44" s="43"/>
      <c r="I44" s="422"/>
      <c r="J44" s="43"/>
      <c r="K44" s="38" t="str">
        <f>IF(D8="","",MID(D8,1,15))</f>
        <v>SALDO</v>
      </c>
      <c r="L44" s="412"/>
      <c r="O44" s="411"/>
      <c r="P44" s="393"/>
      <c r="Q44" s="412"/>
      <c r="R44" s="412"/>
      <c r="S44" s="6"/>
      <c r="T44" s="6"/>
      <c r="U44" s="6"/>
      <c r="V44" s="6"/>
      <c r="W44" s="6"/>
      <c r="X44" s="6"/>
      <c r="Y44" s="6"/>
      <c r="Z44" s="6"/>
      <c r="AA44" s="6"/>
    </row>
    <row r="45" spans="2:27" s="48" customFormat="1" ht="12.75" hidden="1" customHeight="1" x14ac:dyDescent="0.2">
      <c r="B45" s="42">
        <v>5</v>
      </c>
      <c r="C45" s="38" t="str">
        <f t="shared" si="0"/>
        <v/>
      </c>
      <c r="D45" s="38" t="str">
        <f>IF(OR($F$3="",AND(E9="",F9="")),"",CONCATENATE($F$3,": ",IF(D9="","",D9&amp;", "),IF(E9="","xxxx",TEXT(E9,"# ##0,-")),", ",IF(F9="","xxxx",TEXT(F9,"# ##0,-"))))</f>
        <v/>
      </c>
      <c r="E45" s="421"/>
      <c r="F45" s="421"/>
      <c r="G45" s="43"/>
      <c r="H45" s="43"/>
      <c r="I45" s="422"/>
      <c r="J45" s="43"/>
      <c r="K45" s="38" t="str">
        <f>IF(D9="","",MID(D9,1,15))</f>
        <v>Summe</v>
      </c>
      <c r="L45" s="412"/>
      <c r="O45" s="411"/>
      <c r="P45" s="393"/>
      <c r="Q45" s="412"/>
      <c r="R45" s="412"/>
      <c r="S45" s="6"/>
      <c r="T45" s="6"/>
      <c r="U45" s="6"/>
      <c r="V45" s="6"/>
      <c r="W45" s="6"/>
      <c r="X45" s="6"/>
      <c r="Y45" s="6"/>
      <c r="Z45" s="6"/>
      <c r="AA45" s="6"/>
    </row>
    <row r="46" spans="2:27" s="48" customFormat="1" ht="12.75" hidden="1" customHeight="1" x14ac:dyDescent="0.2">
      <c r="B46" s="42">
        <v>6</v>
      </c>
      <c r="C46" s="38" t="str">
        <f>IF(D46="","",MID(D46,1,FIND(": ",D46,1)-1)&amp;K46)</f>
        <v/>
      </c>
      <c r="D46" s="38" t="str">
        <f t="shared" ref="D46:D63" si="1">IF(OR($F$11="",AND(E13="",F13="")),"",CONCATENATE($F$11,": ",IF(D13="","",D13&amp;", "),IF(E13="","xxxx",TEXT(E13,"# ##0,-")),", ",IF(F13="","xxxx",TEXT(F13,"# ##0,-"))))</f>
        <v/>
      </c>
      <c r="E46" s="421"/>
      <c r="F46" s="421"/>
      <c r="G46" s="43"/>
      <c r="H46" s="43"/>
      <c r="I46" s="422"/>
      <c r="J46" s="43"/>
      <c r="K46" s="38" t="str">
        <f t="shared" ref="K46:K63" si="2">IF(D13="","",MID(D13,1,15))</f>
        <v/>
      </c>
      <c r="L46" s="412"/>
      <c r="O46" s="411"/>
      <c r="P46" s="393"/>
      <c r="Q46" s="412"/>
      <c r="R46" s="412"/>
      <c r="S46" s="6"/>
      <c r="T46" s="6"/>
      <c r="U46" s="6"/>
      <c r="V46" s="6"/>
      <c r="W46" s="6"/>
      <c r="X46" s="6"/>
      <c r="Y46" s="6"/>
      <c r="Z46" s="6"/>
      <c r="AA46" s="6"/>
    </row>
    <row r="47" spans="2:27" s="48" customFormat="1" ht="12.75" hidden="1" customHeight="1" x14ac:dyDescent="0.2">
      <c r="B47" s="42">
        <v>7</v>
      </c>
      <c r="C47" s="38" t="str">
        <f t="shared" ref="C47:C63" si="3">IF(D47="","",MID(D47,1,FIND(": ",D47,1)-1)&amp;K47)</f>
        <v/>
      </c>
      <c r="D47" s="38" t="str">
        <f t="shared" si="1"/>
        <v/>
      </c>
      <c r="E47" s="421"/>
      <c r="F47" s="421"/>
      <c r="G47" s="43"/>
      <c r="H47" s="43"/>
      <c r="I47" s="422"/>
      <c r="J47" s="43"/>
      <c r="K47" s="38" t="str">
        <f t="shared" si="2"/>
        <v/>
      </c>
      <c r="L47" s="412"/>
      <c r="O47" s="411"/>
      <c r="P47" s="393"/>
      <c r="Q47" s="412"/>
      <c r="R47" s="412"/>
      <c r="S47" s="6"/>
      <c r="T47" s="6"/>
      <c r="U47" s="6"/>
      <c r="V47" s="6"/>
      <c r="W47" s="6"/>
      <c r="X47" s="6"/>
      <c r="Y47" s="6"/>
      <c r="Z47" s="6"/>
      <c r="AA47" s="6"/>
    </row>
    <row r="48" spans="2:27" s="48" customFormat="1" ht="12.75" hidden="1" customHeight="1" x14ac:dyDescent="0.2">
      <c r="B48" s="42">
        <v>8</v>
      </c>
      <c r="C48" s="38" t="str">
        <f t="shared" si="3"/>
        <v/>
      </c>
      <c r="D48" s="38" t="str">
        <f t="shared" si="1"/>
        <v/>
      </c>
      <c r="E48" s="421"/>
      <c r="F48" s="421"/>
      <c r="G48" s="43"/>
      <c r="H48" s="43"/>
      <c r="I48" s="422"/>
      <c r="J48" s="43"/>
      <c r="K48" s="38" t="str">
        <f t="shared" si="2"/>
        <v/>
      </c>
      <c r="L48" s="412"/>
      <c r="O48" s="411"/>
      <c r="P48" s="393"/>
      <c r="Q48" s="412"/>
      <c r="R48" s="412"/>
      <c r="S48" s="6"/>
      <c r="T48" s="6"/>
      <c r="U48" s="6"/>
      <c r="V48" s="6"/>
      <c r="W48" s="6"/>
      <c r="X48" s="6"/>
      <c r="Y48" s="6"/>
      <c r="Z48" s="6"/>
      <c r="AA48" s="6"/>
    </row>
    <row r="49" spans="2:27" s="48" customFormat="1" ht="12.75" hidden="1" customHeight="1" x14ac:dyDescent="0.2">
      <c r="B49" s="42">
        <v>9</v>
      </c>
      <c r="C49" s="38" t="str">
        <f t="shared" si="3"/>
        <v/>
      </c>
      <c r="D49" s="38" t="str">
        <f t="shared" si="1"/>
        <v/>
      </c>
      <c r="E49" s="421"/>
      <c r="F49" s="421"/>
      <c r="G49" s="43"/>
      <c r="H49" s="43"/>
      <c r="I49" s="422"/>
      <c r="J49" s="43"/>
      <c r="K49" s="38" t="str">
        <f t="shared" si="2"/>
        <v/>
      </c>
      <c r="L49" s="412"/>
      <c r="O49" s="411"/>
      <c r="P49" s="393"/>
      <c r="Q49" s="412"/>
      <c r="R49" s="412"/>
      <c r="S49" s="6"/>
      <c r="T49" s="6"/>
      <c r="U49" s="6"/>
      <c r="V49" s="6"/>
      <c r="W49" s="6"/>
      <c r="X49" s="6"/>
      <c r="Y49" s="6"/>
      <c r="Z49" s="6"/>
      <c r="AA49" s="6"/>
    </row>
    <row r="50" spans="2:27" s="48" customFormat="1" ht="12.75" hidden="1" customHeight="1" x14ac:dyDescent="0.2">
      <c r="B50" s="42">
        <v>10</v>
      </c>
      <c r="C50" s="38" t="str">
        <f t="shared" si="3"/>
        <v/>
      </c>
      <c r="D50" s="38" t="str">
        <f t="shared" si="1"/>
        <v/>
      </c>
      <c r="E50" s="421"/>
      <c r="F50" s="421"/>
      <c r="G50" s="43"/>
      <c r="H50" s="43"/>
      <c r="I50" s="422"/>
      <c r="J50" s="43"/>
      <c r="K50" s="38" t="str">
        <f t="shared" si="2"/>
        <v/>
      </c>
      <c r="L50" s="412"/>
      <c r="O50" s="411"/>
      <c r="P50" s="393"/>
      <c r="Q50" s="412"/>
      <c r="R50" s="412"/>
      <c r="S50" s="6"/>
      <c r="T50" s="6"/>
      <c r="U50" s="6"/>
      <c r="V50" s="6"/>
      <c r="W50" s="6"/>
      <c r="X50" s="6"/>
      <c r="Y50" s="6"/>
      <c r="Z50" s="6"/>
      <c r="AA50" s="6"/>
    </row>
    <row r="51" spans="2:27" s="48" customFormat="1" ht="12.75" hidden="1" customHeight="1" x14ac:dyDescent="0.2">
      <c r="B51" s="42">
        <v>11</v>
      </c>
      <c r="C51" s="38" t="str">
        <f t="shared" si="3"/>
        <v/>
      </c>
      <c r="D51" s="38" t="str">
        <f t="shared" si="1"/>
        <v/>
      </c>
      <c r="E51" s="421"/>
      <c r="F51" s="421"/>
      <c r="G51" s="43"/>
      <c r="H51" s="43"/>
      <c r="I51" s="422"/>
      <c r="J51" s="43"/>
      <c r="K51" s="38" t="str">
        <f t="shared" si="2"/>
        <v/>
      </c>
      <c r="L51" s="412"/>
      <c r="O51" s="411"/>
      <c r="P51" s="393"/>
      <c r="Q51" s="412"/>
      <c r="R51" s="412"/>
      <c r="S51" s="6"/>
      <c r="T51" s="6"/>
      <c r="U51" s="6"/>
      <c r="V51" s="6"/>
      <c r="W51" s="6"/>
      <c r="X51" s="6"/>
      <c r="Y51" s="6"/>
      <c r="Z51" s="6"/>
      <c r="AA51" s="6"/>
    </row>
    <row r="52" spans="2:27" s="48" customFormat="1" ht="12.75" hidden="1" customHeight="1" x14ac:dyDescent="0.2">
      <c r="B52" s="42">
        <v>12</v>
      </c>
      <c r="C52" s="38" t="str">
        <f t="shared" si="3"/>
        <v/>
      </c>
      <c r="D52" s="38" t="str">
        <f t="shared" si="1"/>
        <v/>
      </c>
      <c r="E52" s="421"/>
      <c r="F52" s="421"/>
      <c r="G52" s="43"/>
      <c r="H52" s="43"/>
      <c r="I52" s="422"/>
      <c r="J52" s="43"/>
      <c r="K52" s="38" t="str">
        <f t="shared" si="2"/>
        <v/>
      </c>
      <c r="L52" s="412"/>
      <c r="O52" s="411"/>
      <c r="P52" s="393"/>
      <c r="Q52" s="412"/>
      <c r="R52" s="412"/>
      <c r="S52" s="6"/>
      <c r="T52" s="6"/>
      <c r="U52" s="6"/>
      <c r="V52" s="6"/>
      <c r="W52" s="6"/>
      <c r="X52" s="6"/>
      <c r="Y52" s="6"/>
      <c r="Z52" s="6"/>
      <c r="AA52" s="6"/>
    </row>
    <row r="53" spans="2:27" s="48" customFormat="1" ht="12.75" hidden="1" customHeight="1" x14ac:dyDescent="0.2">
      <c r="B53" s="42">
        <v>13</v>
      </c>
      <c r="C53" s="38" t="str">
        <f t="shared" si="3"/>
        <v/>
      </c>
      <c r="D53" s="38" t="str">
        <f t="shared" si="1"/>
        <v/>
      </c>
      <c r="E53" s="421"/>
      <c r="F53" s="421"/>
      <c r="G53" s="43"/>
      <c r="H53" s="43"/>
      <c r="I53" s="422"/>
      <c r="J53" s="43"/>
      <c r="K53" s="38" t="str">
        <f t="shared" si="2"/>
        <v/>
      </c>
      <c r="L53" s="412"/>
      <c r="O53" s="411"/>
      <c r="P53" s="393"/>
      <c r="Q53" s="412"/>
      <c r="R53" s="412"/>
      <c r="S53" s="6"/>
      <c r="T53" s="6"/>
      <c r="U53" s="6"/>
      <c r="V53" s="6"/>
      <c r="W53" s="6"/>
      <c r="X53" s="6"/>
      <c r="Y53" s="6"/>
      <c r="Z53" s="6"/>
      <c r="AA53" s="6"/>
    </row>
    <row r="54" spans="2:27" s="48" customFormat="1" ht="12.75" hidden="1" customHeight="1" x14ac:dyDescent="0.2">
      <c r="B54" s="42">
        <v>14</v>
      </c>
      <c r="C54" s="38" t="str">
        <f t="shared" si="3"/>
        <v/>
      </c>
      <c r="D54" s="38" t="str">
        <f t="shared" si="1"/>
        <v/>
      </c>
      <c r="E54" s="421"/>
      <c r="F54" s="421"/>
      <c r="G54" s="43"/>
      <c r="H54" s="43"/>
      <c r="I54" s="422"/>
      <c r="J54" s="43"/>
      <c r="K54" s="38" t="str">
        <f t="shared" si="2"/>
        <v/>
      </c>
      <c r="L54" s="412"/>
      <c r="O54" s="411"/>
      <c r="P54" s="393"/>
      <c r="Q54" s="412"/>
      <c r="R54" s="412"/>
      <c r="S54" s="6"/>
      <c r="T54" s="6"/>
      <c r="U54" s="6"/>
      <c r="V54" s="6"/>
      <c r="W54" s="6"/>
      <c r="X54" s="6"/>
      <c r="Y54" s="6"/>
      <c r="Z54" s="6"/>
      <c r="AA54" s="6"/>
    </row>
    <row r="55" spans="2:27" s="48" customFormat="1" ht="12.75" hidden="1" customHeight="1" x14ac:dyDescent="0.2">
      <c r="B55" s="42">
        <v>15</v>
      </c>
      <c r="C55" s="38" t="str">
        <f t="shared" si="3"/>
        <v/>
      </c>
      <c r="D55" s="38" t="str">
        <f t="shared" si="1"/>
        <v/>
      </c>
      <c r="E55" s="421"/>
      <c r="F55" s="421"/>
      <c r="G55" s="43"/>
      <c r="H55" s="43"/>
      <c r="I55" s="422"/>
      <c r="J55" s="43"/>
      <c r="K55" s="38" t="str">
        <f t="shared" si="2"/>
        <v/>
      </c>
      <c r="L55" s="412"/>
      <c r="O55" s="411"/>
      <c r="P55" s="393"/>
      <c r="Q55" s="412"/>
      <c r="R55" s="412"/>
      <c r="S55" s="6"/>
      <c r="T55" s="6"/>
      <c r="U55" s="6"/>
      <c r="V55" s="6"/>
      <c r="W55" s="6"/>
      <c r="X55" s="6"/>
      <c r="Y55" s="6"/>
      <c r="Z55" s="6"/>
      <c r="AA55" s="6"/>
    </row>
    <row r="56" spans="2:27" s="48" customFormat="1" ht="12.75" hidden="1" customHeight="1" x14ac:dyDescent="0.2">
      <c r="B56" s="42">
        <v>16</v>
      </c>
      <c r="C56" s="38" t="str">
        <f t="shared" si="3"/>
        <v/>
      </c>
      <c r="D56" s="38" t="str">
        <f t="shared" si="1"/>
        <v/>
      </c>
      <c r="E56" s="421"/>
      <c r="F56" s="421"/>
      <c r="G56" s="43"/>
      <c r="H56" s="43"/>
      <c r="I56" s="422"/>
      <c r="J56" s="43"/>
      <c r="K56" s="38" t="str">
        <f t="shared" si="2"/>
        <v/>
      </c>
      <c r="L56" s="412"/>
      <c r="O56" s="411"/>
      <c r="P56" s="393"/>
      <c r="Q56" s="412"/>
      <c r="R56" s="412"/>
      <c r="S56" s="6"/>
      <c r="T56" s="6"/>
      <c r="U56" s="6"/>
      <c r="V56" s="6"/>
      <c r="W56" s="6"/>
      <c r="X56" s="6"/>
      <c r="Y56" s="6"/>
      <c r="Z56" s="6"/>
      <c r="AA56" s="6"/>
    </row>
    <row r="57" spans="2:27" s="48" customFormat="1" ht="12.75" hidden="1" customHeight="1" x14ac:dyDescent="0.2">
      <c r="B57" s="42">
        <v>17</v>
      </c>
      <c r="C57" s="38" t="str">
        <f t="shared" si="3"/>
        <v/>
      </c>
      <c r="D57" s="38" t="str">
        <f t="shared" si="1"/>
        <v/>
      </c>
      <c r="E57" s="421"/>
      <c r="F57" s="421"/>
      <c r="G57" s="43"/>
      <c r="H57" s="43"/>
      <c r="I57" s="422"/>
      <c r="J57" s="43"/>
      <c r="K57" s="38" t="str">
        <f t="shared" si="2"/>
        <v/>
      </c>
      <c r="L57" s="412"/>
      <c r="O57" s="411"/>
      <c r="P57" s="393"/>
      <c r="Q57" s="412"/>
      <c r="R57" s="412"/>
      <c r="S57" s="6"/>
      <c r="T57" s="6"/>
      <c r="U57" s="6"/>
      <c r="V57" s="6"/>
      <c r="W57" s="6"/>
      <c r="X57" s="6"/>
      <c r="Y57" s="6"/>
      <c r="Z57" s="6"/>
      <c r="AA57" s="6"/>
    </row>
    <row r="58" spans="2:27" s="48" customFormat="1" ht="12.75" hidden="1" customHeight="1" x14ac:dyDescent="0.2">
      <c r="B58" s="42">
        <v>18</v>
      </c>
      <c r="C58" s="38" t="str">
        <f t="shared" si="3"/>
        <v/>
      </c>
      <c r="D58" s="38" t="str">
        <f t="shared" si="1"/>
        <v/>
      </c>
      <c r="E58" s="421"/>
      <c r="F58" s="421"/>
      <c r="G58" s="43"/>
      <c r="H58" s="43"/>
      <c r="I58" s="422"/>
      <c r="J58" s="43"/>
      <c r="K58" s="38" t="str">
        <f t="shared" si="2"/>
        <v/>
      </c>
      <c r="L58" s="412"/>
      <c r="O58" s="411"/>
      <c r="P58" s="393"/>
      <c r="Q58" s="412"/>
      <c r="R58" s="412"/>
      <c r="S58" s="6"/>
      <c r="T58" s="6"/>
      <c r="U58" s="6"/>
      <c r="V58" s="6"/>
      <c r="W58" s="6"/>
      <c r="X58" s="6"/>
      <c r="Y58" s="6"/>
      <c r="Z58" s="6"/>
      <c r="AA58" s="6"/>
    </row>
    <row r="59" spans="2:27" s="48" customFormat="1" ht="12.75" hidden="1" customHeight="1" x14ac:dyDescent="0.2">
      <c r="B59" s="42">
        <v>19</v>
      </c>
      <c r="C59" s="38" t="str">
        <f t="shared" si="3"/>
        <v/>
      </c>
      <c r="D59" s="38" t="str">
        <f t="shared" si="1"/>
        <v/>
      </c>
      <c r="E59" s="421"/>
      <c r="F59" s="421"/>
      <c r="G59" s="43"/>
      <c r="H59" s="43"/>
      <c r="I59" s="422"/>
      <c r="J59" s="43"/>
      <c r="K59" s="38" t="str">
        <f t="shared" si="2"/>
        <v/>
      </c>
      <c r="L59" s="412"/>
      <c r="O59" s="411"/>
      <c r="P59" s="393"/>
      <c r="Q59" s="412"/>
      <c r="R59" s="412"/>
      <c r="S59" s="6"/>
      <c r="T59" s="6"/>
      <c r="U59" s="6"/>
      <c r="V59" s="6"/>
      <c r="W59" s="6"/>
      <c r="X59" s="6"/>
      <c r="Y59" s="6"/>
      <c r="Z59" s="6"/>
      <c r="AA59" s="6"/>
    </row>
    <row r="60" spans="2:27" s="48" customFormat="1" ht="12.75" hidden="1" customHeight="1" x14ac:dyDescent="0.2">
      <c r="B60" s="42">
        <v>20</v>
      </c>
      <c r="C60" s="38" t="str">
        <f t="shared" si="3"/>
        <v/>
      </c>
      <c r="D60" s="38" t="str">
        <f t="shared" si="1"/>
        <v/>
      </c>
      <c r="E60" s="421"/>
      <c r="F60" s="421"/>
      <c r="G60" s="43"/>
      <c r="H60" s="43"/>
      <c r="I60" s="422"/>
      <c r="J60" s="43"/>
      <c r="K60" s="38" t="str">
        <f t="shared" si="2"/>
        <v/>
      </c>
      <c r="L60" s="412"/>
      <c r="O60" s="411"/>
      <c r="P60" s="393"/>
      <c r="Q60" s="412"/>
      <c r="R60" s="412"/>
      <c r="S60" s="6"/>
      <c r="T60" s="6"/>
      <c r="U60" s="6"/>
      <c r="V60" s="6"/>
      <c r="W60" s="6"/>
      <c r="X60" s="6"/>
      <c r="Y60" s="6"/>
      <c r="Z60" s="6"/>
      <c r="AA60" s="6"/>
    </row>
    <row r="61" spans="2:27" s="48" customFormat="1" ht="12.75" hidden="1" customHeight="1" x14ac:dyDescent="0.2">
      <c r="B61" s="42">
        <v>21</v>
      </c>
      <c r="C61" s="38" t="str">
        <f t="shared" si="3"/>
        <v/>
      </c>
      <c r="D61" s="38" t="str">
        <f t="shared" si="1"/>
        <v/>
      </c>
      <c r="E61" s="421"/>
      <c r="F61" s="421"/>
      <c r="G61" s="43"/>
      <c r="H61" s="43"/>
      <c r="I61" s="422"/>
      <c r="J61" s="43"/>
      <c r="K61" s="38" t="str">
        <f t="shared" si="2"/>
        <v/>
      </c>
      <c r="L61" s="412"/>
      <c r="O61" s="411"/>
      <c r="P61" s="393"/>
      <c r="Q61" s="412"/>
      <c r="R61" s="412"/>
      <c r="S61" s="6"/>
      <c r="T61" s="6"/>
      <c r="U61" s="6"/>
      <c r="V61" s="6"/>
      <c r="W61" s="6"/>
      <c r="X61" s="6"/>
      <c r="Y61" s="6"/>
      <c r="Z61" s="6"/>
      <c r="AA61" s="6"/>
    </row>
    <row r="62" spans="2:27" s="48" customFormat="1" ht="12.75" hidden="1" customHeight="1" x14ac:dyDescent="0.2">
      <c r="B62" s="42">
        <v>22</v>
      </c>
      <c r="C62" s="38" t="str">
        <f t="shared" si="3"/>
        <v/>
      </c>
      <c r="D62" s="38" t="str">
        <f t="shared" si="1"/>
        <v/>
      </c>
      <c r="E62" s="421"/>
      <c r="F62" s="421"/>
      <c r="G62" s="43"/>
      <c r="H62" s="43"/>
      <c r="I62" s="422"/>
      <c r="J62" s="43"/>
      <c r="K62" s="38" t="str">
        <f t="shared" si="2"/>
        <v>SALDO</v>
      </c>
      <c r="L62" s="412"/>
      <c r="O62" s="411"/>
      <c r="P62" s="393"/>
      <c r="Q62" s="412"/>
      <c r="R62" s="412"/>
      <c r="S62" s="6"/>
      <c r="T62" s="6"/>
      <c r="U62" s="6"/>
      <c r="V62" s="6"/>
      <c r="W62" s="6"/>
      <c r="X62" s="6"/>
      <c r="Y62" s="6"/>
      <c r="Z62" s="6"/>
      <c r="AA62" s="6"/>
    </row>
    <row r="63" spans="2:27" s="48" customFormat="1" ht="12.75" hidden="1" customHeight="1" x14ac:dyDescent="0.2">
      <c r="B63" s="42">
        <v>23</v>
      </c>
      <c r="C63" s="38" t="str">
        <f t="shared" si="3"/>
        <v/>
      </c>
      <c r="D63" s="38" t="str">
        <f t="shared" si="1"/>
        <v/>
      </c>
      <c r="E63" s="421"/>
      <c r="F63" s="421"/>
      <c r="G63" s="43"/>
      <c r="H63" s="43"/>
      <c r="I63" s="422"/>
      <c r="J63" s="43"/>
      <c r="K63" s="38" t="str">
        <f t="shared" si="2"/>
        <v>Summe</v>
      </c>
      <c r="L63" s="412"/>
      <c r="O63" s="411"/>
      <c r="P63" s="393"/>
      <c r="Q63" s="412"/>
      <c r="R63" s="412"/>
      <c r="S63" s="6"/>
      <c r="T63" s="6"/>
      <c r="U63" s="6"/>
      <c r="V63" s="6"/>
      <c r="W63" s="6"/>
      <c r="X63" s="6"/>
      <c r="Y63" s="6"/>
      <c r="Z63" s="6"/>
      <c r="AA63" s="6"/>
    </row>
    <row r="64" spans="2:27" s="48" customFormat="1" ht="12.75" hidden="1" customHeight="1" x14ac:dyDescent="0.2">
      <c r="B64" s="42">
        <v>24</v>
      </c>
      <c r="C64" s="38" t="str">
        <f>IF(D64="","",MID(D64,1,FIND(": ",D64,1)-1)&amp;K64)</f>
        <v/>
      </c>
      <c r="D64" s="43" t="str">
        <f t="shared" ref="D64:D77" si="4">IF(OR($L$3="",AND(K5="",L5="")),"",CONCATENATE($L$3,": ",IF(J5="","",J5&amp;", "),IF(K5="","xxxx",TEXT(K5,"# ##0,-")),", ",IF(L5="","xxxx",TEXT(L5,"# ##0,-"))))</f>
        <v/>
      </c>
      <c r="E64" s="421"/>
      <c r="F64" s="421"/>
      <c r="G64" s="43"/>
      <c r="H64" s="43"/>
      <c r="I64" s="422"/>
      <c r="J64" s="43"/>
      <c r="K64" s="38" t="str">
        <f t="shared" ref="K64:K78" si="5">IF(J5="","",MID(J5,1,15))</f>
        <v/>
      </c>
      <c r="L64" s="412"/>
      <c r="O64" s="411"/>
      <c r="P64" s="393"/>
      <c r="Q64" s="412"/>
      <c r="R64" s="412"/>
      <c r="S64" s="6"/>
      <c r="T64" s="6"/>
      <c r="U64" s="6"/>
      <c r="V64" s="6"/>
      <c r="W64" s="6"/>
      <c r="X64" s="6"/>
      <c r="Y64" s="6"/>
      <c r="Z64" s="6"/>
      <c r="AA64" s="6"/>
    </row>
    <row r="65" spans="2:27" s="48" customFormat="1" ht="12.75" hidden="1" customHeight="1" x14ac:dyDescent="0.2">
      <c r="B65" s="42">
        <v>25</v>
      </c>
      <c r="C65" s="38" t="str">
        <f t="shared" ref="C65:C78" si="6">IF(D65="","",MID(D65,1,FIND(": ",D65,1)-1)&amp;K65)</f>
        <v/>
      </c>
      <c r="D65" s="43" t="str">
        <f t="shared" si="4"/>
        <v/>
      </c>
      <c r="E65" s="421"/>
      <c r="F65" s="421"/>
      <c r="G65" s="43"/>
      <c r="H65" s="43"/>
      <c r="I65" s="422"/>
      <c r="J65" s="43"/>
      <c r="K65" s="38" t="str">
        <f t="shared" si="5"/>
        <v/>
      </c>
      <c r="L65" s="412"/>
      <c r="O65" s="411"/>
      <c r="P65" s="393"/>
      <c r="Q65" s="412"/>
      <c r="R65" s="412"/>
      <c r="S65" s="6"/>
      <c r="T65" s="6"/>
      <c r="U65" s="6"/>
      <c r="V65" s="6"/>
      <c r="W65" s="6"/>
      <c r="X65" s="6"/>
      <c r="Y65" s="6"/>
      <c r="Z65" s="6"/>
      <c r="AA65" s="6"/>
    </row>
    <row r="66" spans="2:27" s="48" customFormat="1" ht="12.75" hidden="1" customHeight="1" x14ac:dyDescent="0.2">
      <c r="B66" s="42">
        <v>26</v>
      </c>
      <c r="C66" s="38" t="str">
        <f t="shared" si="6"/>
        <v/>
      </c>
      <c r="D66" s="43" t="str">
        <f t="shared" si="4"/>
        <v/>
      </c>
      <c r="E66" s="421"/>
      <c r="F66" s="421"/>
      <c r="G66" s="43"/>
      <c r="H66" s="43"/>
      <c r="I66" s="422"/>
      <c r="J66" s="43"/>
      <c r="K66" s="38" t="str">
        <f t="shared" si="5"/>
        <v/>
      </c>
      <c r="L66" s="412"/>
      <c r="O66" s="411"/>
      <c r="P66" s="393"/>
      <c r="Q66" s="412"/>
      <c r="R66" s="412"/>
      <c r="S66" s="6"/>
      <c r="T66" s="6"/>
      <c r="U66" s="6"/>
      <c r="V66" s="6"/>
      <c r="W66" s="6"/>
      <c r="X66" s="6"/>
      <c r="Y66" s="6"/>
      <c r="Z66" s="6"/>
      <c r="AA66" s="6"/>
    </row>
    <row r="67" spans="2:27" s="48" customFormat="1" ht="12.75" hidden="1" customHeight="1" x14ac:dyDescent="0.2">
      <c r="B67" s="42">
        <v>27</v>
      </c>
      <c r="C67" s="38" t="str">
        <f t="shared" si="6"/>
        <v/>
      </c>
      <c r="D67" s="43" t="str">
        <f t="shared" si="4"/>
        <v/>
      </c>
      <c r="E67" s="421"/>
      <c r="F67" s="421"/>
      <c r="G67" s="43"/>
      <c r="H67" s="43"/>
      <c r="I67" s="422"/>
      <c r="J67" s="43"/>
      <c r="K67" s="38" t="str">
        <f t="shared" si="5"/>
        <v/>
      </c>
      <c r="L67" s="412"/>
      <c r="O67" s="411"/>
      <c r="P67" s="393"/>
      <c r="Q67" s="412"/>
      <c r="R67" s="412"/>
      <c r="S67" s="6"/>
      <c r="T67" s="6"/>
      <c r="U67" s="6"/>
      <c r="V67" s="6"/>
      <c r="W67" s="6"/>
      <c r="X67" s="6"/>
      <c r="Y67" s="6"/>
      <c r="Z67" s="6"/>
      <c r="AA67" s="6"/>
    </row>
    <row r="68" spans="2:27" s="48" customFormat="1" ht="12.75" hidden="1" customHeight="1" x14ac:dyDescent="0.2">
      <c r="B68" s="42">
        <v>28</v>
      </c>
      <c r="C68" s="38" t="str">
        <f t="shared" si="6"/>
        <v/>
      </c>
      <c r="D68" s="43" t="str">
        <f t="shared" si="4"/>
        <v/>
      </c>
      <c r="E68" s="421"/>
      <c r="F68" s="421"/>
      <c r="G68" s="43"/>
      <c r="H68" s="43"/>
      <c r="I68" s="422"/>
      <c r="J68" s="43"/>
      <c r="K68" s="38" t="str">
        <f t="shared" si="5"/>
        <v/>
      </c>
      <c r="L68" s="412"/>
      <c r="O68" s="411"/>
      <c r="P68" s="393"/>
      <c r="Q68" s="412"/>
      <c r="R68" s="412"/>
      <c r="S68" s="6"/>
      <c r="T68" s="6"/>
      <c r="U68" s="6"/>
      <c r="V68" s="6"/>
      <c r="W68" s="6"/>
      <c r="X68" s="6"/>
      <c r="Y68" s="6"/>
      <c r="Z68" s="6"/>
      <c r="AA68" s="6"/>
    </row>
    <row r="69" spans="2:27" s="48" customFormat="1" ht="12.75" hidden="1" customHeight="1" x14ac:dyDescent="0.2">
      <c r="B69" s="42">
        <v>29</v>
      </c>
      <c r="C69" s="38" t="str">
        <f t="shared" si="6"/>
        <v/>
      </c>
      <c r="D69" s="43" t="str">
        <f t="shared" si="4"/>
        <v/>
      </c>
      <c r="E69" s="421"/>
      <c r="F69" s="421"/>
      <c r="G69" s="43"/>
      <c r="H69" s="43"/>
      <c r="I69" s="422"/>
      <c r="J69" s="43"/>
      <c r="K69" s="38" t="str">
        <f t="shared" si="5"/>
        <v/>
      </c>
      <c r="L69" s="412"/>
      <c r="O69" s="411"/>
      <c r="P69" s="393"/>
      <c r="Q69" s="412"/>
      <c r="R69" s="412"/>
      <c r="S69" s="6"/>
      <c r="T69" s="6"/>
      <c r="U69" s="6"/>
      <c r="V69" s="6"/>
      <c r="W69" s="6"/>
      <c r="X69" s="6"/>
      <c r="Y69" s="6"/>
      <c r="Z69" s="6"/>
      <c r="AA69" s="6"/>
    </row>
    <row r="70" spans="2:27" s="48" customFormat="1" ht="12.75" hidden="1" customHeight="1" x14ac:dyDescent="0.2">
      <c r="B70" s="42">
        <v>30</v>
      </c>
      <c r="C70" s="38" t="str">
        <f t="shared" si="6"/>
        <v/>
      </c>
      <c r="D70" s="43" t="str">
        <f t="shared" si="4"/>
        <v/>
      </c>
      <c r="E70" s="421"/>
      <c r="F70" s="421"/>
      <c r="G70" s="43"/>
      <c r="H70" s="43"/>
      <c r="I70" s="422"/>
      <c r="J70" s="43"/>
      <c r="K70" s="38" t="str">
        <f t="shared" si="5"/>
        <v/>
      </c>
      <c r="L70" s="412"/>
      <c r="O70" s="411"/>
      <c r="P70" s="393"/>
      <c r="Q70" s="412"/>
      <c r="R70" s="412"/>
      <c r="S70" s="6"/>
      <c r="T70" s="6"/>
      <c r="U70" s="6"/>
      <c r="V70" s="6"/>
      <c r="W70" s="6"/>
      <c r="X70" s="6"/>
      <c r="Y70" s="6"/>
      <c r="Z70" s="6"/>
      <c r="AA70" s="6"/>
    </row>
    <row r="71" spans="2:27" s="48" customFormat="1" ht="12.75" hidden="1" customHeight="1" x14ac:dyDescent="0.2">
      <c r="B71" s="42">
        <v>31</v>
      </c>
      <c r="C71" s="38" t="str">
        <f t="shared" si="6"/>
        <v/>
      </c>
      <c r="D71" s="43" t="str">
        <f t="shared" si="4"/>
        <v/>
      </c>
      <c r="E71" s="421"/>
      <c r="F71" s="421"/>
      <c r="G71" s="43"/>
      <c r="H71" s="43"/>
      <c r="I71" s="422"/>
      <c r="J71" s="43"/>
      <c r="K71" s="38" t="str">
        <f t="shared" si="5"/>
        <v/>
      </c>
      <c r="L71" s="412"/>
      <c r="O71" s="411"/>
      <c r="P71" s="393"/>
      <c r="Q71" s="412"/>
      <c r="R71" s="412"/>
      <c r="S71" s="6"/>
      <c r="T71" s="6"/>
      <c r="U71" s="6"/>
      <c r="V71" s="6"/>
      <c r="W71" s="6"/>
      <c r="X71" s="6"/>
      <c r="Y71" s="6"/>
      <c r="Z71" s="6"/>
      <c r="AA71" s="6"/>
    </row>
    <row r="72" spans="2:27" s="48" customFormat="1" ht="12.75" hidden="1" customHeight="1" x14ac:dyDescent="0.2">
      <c r="B72" s="42">
        <v>32</v>
      </c>
      <c r="C72" s="38" t="str">
        <f t="shared" si="6"/>
        <v/>
      </c>
      <c r="D72" s="43" t="str">
        <f t="shared" si="4"/>
        <v/>
      </c>
      <c r="E72" s="421"/>
      <c r="F72" s="421"/>
      <c r="G72" s="43"/>
      <c r="H72" s="43"/>
      <c r="I72" s="422"/>
      <c r="J72" s="43"/>
      <c r="K72" s="38" t="str">
        <f t="shared" si="5"/>
        <v/>
      </c>
      <c r="L72" s="412"/>
      <c r="O72" s="411"/>
      <c r="P72" s="393"/>
      <c r="Q72" s="412"/>
      <c r="R72" s="412"/>
      <c r="S72" s="6"/>
      <c r="T72" s="6"/>
      <c r="U72" s="6"/>
      <c r="V72" s="6"/>
      <c r="W72" s="6"/>
      <c r="X72" s="6"/>
      <c r="Y72" s="6"/>
      <c r="Z72" s="6"/>
      <c r="AA72" s="6"/>
    </row>
    <row r="73" spans="2:27" s="48" customFormat="1" ht="12.75" hidden="1" customHeight="1" x14ac:dyDescent="0.2">
      <c r="B73" s="42">
        <v>33</v>
      </c>
      <c r="C73" s="38" t="str">
        <f t="shared" si="6"/>
        <v/>
      </c>
      <c r="D73" s="43" t="str">
        <f t="shared" si="4"/>
        <v/>
      </c>
      <c r="E73" s="421"/>
      <c r="F73" s="421"/>
      <c r="G73" s="43"/>
      <c r="H73" s="43"/>
      <c r="I73" s="422"/>
      <c r="J73" s="43"/>
      <c r="K73" s="38" t="str">
        <f t="shared" si="5"/>
        <v/>
      </c>
      <c r="L73" s="412"/>
      <c r="O73" s="411"/>
      <c r="P73" s="393"/>
      <c r="Q73" s="412"/>
      <c r="R73" s="412"/>
      <c r="S73" s="6"/>
      <c r="T73" s="6"/>
      <c r="U73" s="6"/>
      <c r="V73" s="6"/>
      <c r="W73" s="6"/>
      <c r="X73" s="6"/>
      <c r="Y73" s="6"/>
      <c r="Z73" s="6"/>
      <c r="AA73" s="6"/>
    </row>
    <row r="74" spans="2:27" s="48" customFormat="1" ht="12.75" hidden="1" customHeight="1" x14ac:dyDescent="0.2">
      <c r="B74" s="42">
        <v>34</v>
      </c>
      <c r="C74" s="38" t="str">
        <f t="shared" si="6"/>
        <v/>
      </c>
      <c r="D74" s="43" t="str">
        <f t="shared" si="4"/>
        <v/>
      </c>
      <c r="E74" s="421"/>
      <c r="F74" s="421"/>
      <c r="G74" s="43"/>
      <c r="H74" s="43"/>
      <c r="I74" s="422"/>
      <c r="J74" s="43"/>
      <c r="K74" s="38" t="str">
        <f t="shared" si="5"/>
        <v/>
      </c>
      <c r="L74" s="412"/>
      <c r="O74" s="411"/>
      <c r="P74" s="393"/>
      <c r="Q74" s="412"/>
      <c r="R74" s="412"/>
      <c r="S74" s="6"/>
      <c r="T74" s="6"/>
      <c r="U74" s="6"/>
      <c r="V74" s="6"/>
      <c r="W74" s="6"/>
      <c r="X74" s="6"/>
      <c r="Y74" s="6"/>
      <c r="Z74" s="6"/>
      <c r="AA74" s="6"/>
    </row>
    <row r="75" spans="2:27" s="48" customFormat="1" ht="12.75" hidden="1" customHeight="1" x14ac:dyDescent="0.2">
      <c r="B75" s="42">
        <v>35</v>
      </c>
      <c r="C75" s="38" t="str">
        <f t="shared" si="6"/>
        <v/>
      </c>
      <c r="D75" s="43" t="str">
        <f t="shared" si="4"/>
        <v/>
      </c>
      <c r="E75" s="421"/>
      <c r="F75" s="421"/>
      <c r="G75" s="43"/>
      <c r="H75" s="43"/>
      <c r="I75" s="422"/>
      <c r="J75" s="43"/>
      <c r="K75" s="38" t="str">
        <f t="shared" si="5"/>
        <v/>
      </c>
      <c r="L75" s="412"/>
      <c r="O75" s="411"/>
      <c r="P75" s="393"/>
      <c r="Q75" s="412"/>
      <c r="R75" s="412"/>
      <c r="S75" s="6"/>
      <c r="T75" s="6"/>
      <c r="U75" s="6"/>
      <c r="V75" s="6"/>
      <c r="W75" s="6"/>
      <c r="X75" s="6"/>
      <c r="Y75" s="6"/>
      <c r="Z75" s="6"/>
      <c r="AA75" s="6"/>
    </row>
    <row r="76" spans="2:27" s="48" customFormat="1" ht="12.75" hidden="1" customHeight="1" x14ac:dyDescent="0.2">
      <c r="B76" s="42">
        <v>36</v>
      </c>
      <c r="C76" s="38" t="str">
        <f t="shared" si="6"/>
        <v/>
      </c>
      <c r="D76" s="43" t="str">
        <f t="shared" si="4"/>
        <v/>
      </c>
      <c r="E76" s="421"/>
      <c r="F76" s="421"/>
      <c r="G76" s="43"/>
      <c r="H76" s="43"/>
      <c r="I76" s="422"/>
      <c r="J76" s="43"/>
      <c r="K76" s="38" t="str">
        <f t="shared" si="5"/>
        <v/>
      </c>
      <c r="L76" s="412"/>
      <c r="O76" s="411"/>
      <c r="P76" s="393"/>
      <c r="Q76" s="412"/>
      <c r="R76" s="412"/>
      <c r="S76" s="6"/>
      <c r="T76" s="6"/>
      <c r="U76" s="6"/>
      <c r="V76" s="6"/>
      <c r="W76" s="6"/>
      <c r="X76" s="6"/>
      <c r="Y76" s="6"/>
      <c r="Z76" s="6"/>
      <c r="AA76" s="6"/>
    </row>
    <row r="77" spans="2:27" s="48" customFormat="1" ht="12.75" hidden="1" customHeight="1" x14ac:dyDescent="0.2">
      <c r="B77" s="42">
        <v>37</v>
      </c>
      <c r="C77" s="38" t="str">
        <f t="shared" si="6"/>
        <v/>
      </c>
      <c r="D77" s="43" t="str">
        <f t="shared" si="4"/>
        <v/>
      </c>
      <c r="E77" s="421"/>
      <c r="F77" s="421"/>
      <c r="G77" s="43"/>
      <c r="H77" s="43"/>
      <c r="I77" s="422"/>
      <c r="J77" s="43"/>
      <c r="K77" s="38" t="str">
        <f t="shared" si="5"/>
        <v>SALDO</v>
      </c>
      <c r="L77" s="412"/>
      <c r="O77" s="411"/>
      <c r="P77" s="393"/>
      <c r="Q77" s="412"/>
      <c r="R77" s="412"/>
      <c r="S77" s="6"/>
      <c r="T77" s="6"/>
      <c r="U77" s="6"/>
      <c r="V77" s="6"/>
      <c r="W77" s="6"/>
      <c r="X77" s="6"/>
      <c r="Y77" s="6"/>
      <c r="Z77" s="6"/>
      <c r="AA77" s="6"/>
    </row>
    <row r="78" spans="2:27" s="48" customFormat="1" ht="12.75" hidden="1" customHeight="1" x14ac:dyDescent="0.2">
      <c r="B78" s="42">
        <v>38</v>
      </c>
      <c r="C78" s="38" t="str">
        <f t="shared" si="6"/>
        <v/>
      </c>
      <c r="D78" s="43" t="str">
        <f>IF(OR($L$3="",AND(K19="",L19="")),"",CONCATENATE($L$3,": ",IF(J19="","",J19&amp;", "),IF(K19="","xxxx",TEXT(K19,"# ##0,-")),", ",IF(L19="","xxxx",TEXT(L19,"# ##0,-"))))</f>
        <v/>
      </c>
      <c r="E78" s="421"/>
      <c r="F78" s="421"/>
      <c r="G78" s="43"/>
      <c r="H78" s="43"/>
      <c r="I78" s="422"/>
      <c r="J78" s="43"/>
      <c r="K78" s="38" t="str">
        <f t="shared" si="5"/>
        <v>Summe</v>
      </c>
      <c r="L78" s="412"/>
      <c r="O78" s="411"/>
      <c r="P78" s="393"/>
      <c r="Q78" s="412"/>
      <c r="R78" s="412"/>
      <c r="S78" s="6"/>
      <c r="T78" s="6"/>
      <c r="U78" s="6"/>
      <c r="V78" s="6"/>
      <c r="W78" s="6"/>
      <c r="X78" s="6"/>
      <c r="Y78" s="6"/>
      <c r="Z78" s="6"/>
      <c r="AA78" s="6"/>
    </row>
    <row r="79" spans="2:27" s="48" customFormat="1" ht="12.75" hidden="1" customHeight="1" x14ac:dyDescent="0.2">
      <c r="B79" s="42">
        <v>39</v>
      </c>
      <c r="C79" s="38" t="str">
        <f>IF(D79="","",MID(D79,1,FIND(": ",D79,1)-1)&amp;K79)</f>
        <v/>
      </c>
      <c r="D79" s="43" t="str">
        <f>IF(OR($L$21="",AND(K23="",L23="")),"",CONCATENATE($L$21,": ",IF(H23="","",H23&amp;", "),IF(I23="","",I23&amp;", "),IF(J23="","",J23&amp;", "),IF(K23="","xxxx",TEXT(K23,"# ##0,-")),", ",IF(L23="","xxxx",TEXT(L23,"# ##0,-"))))</f>
        <v/>
      </c>
      <c r="E79" s="421"/>
      <c r="F79" s="421"/>
      <c r="G79" s="43"/>
      <c r="H79" s="43"/>
      <c r="I79" s="422"/>
      <c r="J79" s="43"/>
      <c r="K79" s="38" t="str">
        <f t="shared" ref="K79:K86" si="7">IF(J23="","",MID(J23,1,15))</f>
        <v/>
      </c>
      <c r="L79" s="412"/>
      <c r="O79" s="411"/>
      <c r="P79" s="393"/>
      <c r="Q79" s="412"/>
      <c r="R79" s="412"/>
      <c r="S79" s="6"/>
      <c r="T79" s="6"/>
      <c r="U79" s="6"/>
      <c r="V79" s="6"/>
      <c r="W79" s="6"/>
      <c r="X79" s="6"/>
      <c r="Y79" s="6"/>
      <c r="Z79" s="6"/>
      <c r="AA79" s="6"/>
    </row>
    <row r="80" spans="2:27" s="48" customFormat="1" ht="12.75" hidden="1" customHeight="1" x14ac:dyDescent="0.2">
      <c r="B80" s="42">
        <v>55</v>
      </c>
      <c r="C80" s="38" t="str">
        <f>IF(D80="","",MID(D80,1,FIND(": ",D80,1)-1)&amp;K80)</f>
        <v/>
      </c>
      <c r="D80" s="43" t="str">
        <f>IF(OR($L$21="",AND(K24="",L24="")),"",CONCATENATE($L$21,": ",IF(H24="","",H24&amp;", "),IF(I24="","",I24&amp;", "),IF(J24="","",J24&amp;", "),IF(K24="","xxxx",TEXT(K24,"# ##0,-")),", ",IF(L24="","xxxx",TEXT(L24,"# ##0,-"))))</f>
        <v/>
      </c>
      <c r="E80" s="421"/>
      <c r="F80" s="421"/>
      <c r="G80" s="43"/>
      <c r="H80" s="43"/>
      <c r="I80" s="422"/>
      <c r="J80" s="43"/>
      <c r="K80" s="38" t="str">
        <f t="shared" si="7"/>
        <v/>
      </c>
      <c r="L80" s="412"/>
      <c r="O80" s="411"/>
      <c r="P80" s="393"/>
      <c r="Q80" s="412"/>
      <c r="R80" s="412"/>
      <c r="S80" s="6"/>
      <c r="T80" s="6"/>
      <c r="U80" s="6"/>
      <c r="V80" s="6"/>
      <c r="W80" s="6"/>
      <c r="X80" s="6"/>
      <c r="Y80" s="6"/>
      <c r="Z80" s="6"/>
      <c r="AA80" s="6"/>
    </row>
    <row r="81" spans="2:27" s="48" customFormat="1" ht="12.75" hidden="1" customHeight="1" x14ac:dyDescent="0.2">
      <c r="B81" s="42">
        <v>56</v>
      </c>
      <c r="C81" s="38" t="str">
        <f t="shared" ref="C81:C86" si="8">IF(D81="","",MID(D81,1,FIND(": ",D81,1)-1)&amp;K81)</f>
        <v/>
      </c>
      <c r="D81" s="43" t="str">
        <f t="shared" ref="D81:D86" si="9">IF(OR($L$21="",AND(K25="",L25="")),"",CONCATENATE($L$21,": ",IF(H25="","",H25&amp;", "),IF(I25="","",I25&amp;", "),IF(J25="","",J25&amp;", "),IF(K25="","xxxx",TEXT(K25,"# ##0,-")),", ",IF(L25="","xxxx",TEXT(L25,"# ##0,-"))))</f>
        <v/>
      </c>
      <c r="E81" s="421"/>
      <c r="F81" s="421"/>
      <c r="G81" s="43"/>
      <c r="H81" s="43"/>
      <c r="I81" s="422"/>
      <c r="J81" s="43"/>
      <c r="K81" s="38" t="str">
        <f t="shared" si="7"/>
        <v/>
      </c>
      <c r="L81" s="412"/>
      <c r="O81" s="411"/>
      <c r="P81" s="393"/>
      <c r="Q81" s="412"/>
      <c r="R81" s="412"/>
      <c r="S81" s="6"/>
      <c r="T81" s="6"/>
      <c r="U81" s="6"/>
      <c r="V81" s="6"/>
      <c r="W81" s="6"/>
      <c r="X81" s="6"/>
      <c r="Y81" s="6"/>
      <c r="Z81" s="6"/>
      <c r="AA81" s="6"/>
    </row>
    <row r="82" spans="2:27" s="48" customFormat="1" ht="12.75" hidden="1" customHeight="1" x14ac:dyDescent="0.2">
      <c r="B82" s="42">
        <v>57</v>
      </c>
      <c r="C82" s="38" t="str">
        <f t="shared" si="8"/>
        <v/>
      </c>
      <c r="D82" s="43" t="str">
        <f t="shared" si="9"/>
        <v/>
      </c>
      <c r="E82" s="421"/>
      <c r="F82" s="421"/>
      <c r="G82" s="43"/>
      <c r="H82" s="43"/>
      <c r="I82" s="422"/>
      <c r="J82" s="43"/>
      <c r="K82" s="38" t="str">
        <f t="shared" si="7"/>
        <v/>
      </c>
      <c r="L82" s="412"/>
      <c r="O82" s="411"/>
      <c r="P82" s="393"/>
      <c r="Q82" s="412"/>
      <c r="R82" s="412"/>
      <c r="S82" s="6"/>
      <c r="T82" s="6"/>
      <c r="U82" s="6"/>
      <c r="V82" s="6"/>
      <c r="W82" s="6"/>
      <c r="X82" s="6"/>
      <c r="Y82" s="6"/>
      <c r="Z82" s="6"/>
      <c r="AA82" s="6"/>
    </row>
    <row r="83" spans="2:27" s="48" customFormat="1" ht="12.75" hidden="1" customHeight="1" x14ac:dyDescent="0.2">
      <c r="B83" s="42">
        <v>58</v>
      </c>
      <c r="C83" s="38" t="str">
        <f t="shared" si="8"/>
        <v/>
      </c>
      <c r="D83" s="43" t="str">
        <f t="shared" si="9"/>
        <v/>
      </c>
      <c r="E83" s="421"/>
      <c r="F83" s="421"/>
      <c r="G83" s="43"/>
      <c r="H83" s="43"/>
      <c r="I83" s="422"/>
      <c r="J83" s="43"/>
      <c r="K83" s="38" t="str">
        <f t="shared" si="7"/>
        <v/>
      </c>
      <c r="L83" s="412"/>
      <c r="O83" s="411"/>
      <c r="P83" s="393"/>
      <c r="Q83" s="412"/>
      <c r="R83" s="412"/>
      <c r="S83" s="6"/>
      <c r="T83" s="6"/>
      <c r="U83" s="6"/>
      <c r="V83" s="6"/>
      <c r="W83" s="6"/>
      <c r="X83" s="6"/>
      <c r="Y83" s="6"/>
      <c r="Z83" s="6"/>
      <c r="AA83" s="6"/>
    </row>
    <row r="84" spans="2:27" s="48" customFormat="1" ht="12.75" hidden="1" customHeight="1" x14ac:dyDescent="0.2">
      <c r="B84" s="42">
        <v>59</v>
      </c>
      <c r="C84" s="38" t="str">
        <f t="shared" si="8"/>
        <v/>
      </c>
      <c r="D84" s="43" t="str">
        <f t="shared" si="9"/>
        <v/>
      </c>
      <c r="E84" s="421"/>
      <c r="F84" s="421"/>
      <c r="G84" s="43"/>
      <c r="H84" s="43"/>
      <c r="I84" s="422"/>
      <c r="J84" s="43"/>
      <c r="K84" s="38" t="str">
        <f t="shared" si="7"/>
        <v/>
      </c>
      <c r="L84" s="412"/>
      <c r="O84" s="411"/>
      <c r="P84" s="393"/>
      <c r="Q84" s="412"/>
      <c r="R84" s="412"/>
      <c r="S84" s="6"/>
      <c r="T84" s="6"/>
      <c r="U84" s="6"/>
      <c r="V84" s="6"/>
      <c r="W84" s="6"/>
      <c r="X84" s="6"/>
      <c r="Y84" s="6"/>
      <c r="Z84" s="6"/>
      <c r="AA84" s="6"/>
    </row>
    <row r="85" spans="2:27" s="48" customFormat="1" ht="12.75" hidden="1" customHeight="1" x14ac:dyDescent="0.2">
      <c r="B85" s="42">
        <v>60</v>
      </c>
      <c r="C85" s="38" t="str">
        <f t="shared" si="8"/>
        <v/>
      </c>
      <c r="D85" s="43" t="str">
        <f t="shared" si="9"/>
        <v/>
      </c>
      <c r="E85" s="421"/>
      <c r="F85" s="421"/>
      <c r="G85" s="43"/>
      <c r="H85" s="43"/>
      <c r="I85" s="422"/>
      <c r="J85" s="43"/>
      <c r="K85" s="38" t="str">
        <f t="shared" si="7"/>
        <v/>
      </c>
      <c r="L85" s="412"/>
      <c r="O85" s="411"/>
      <c r="P85" s="393"/>
      <c r="Q85" s="412"/>
      <c r="R85" s="412"/>
      <c r="S85" s="6"/>
      <c r="T85" s="6"/>
      <c r="U85" s="6"/>
      <c r="V85" s="6"/>
      <c r="W85" s="6"/>
      <c r="X85" s="6"/>
      <c r="Y85" s="6"/>
      <c r="Z85" s="6"/>
      <c r="AA85" s="6"/>
    </row>
    <row r="86" spans="2:27" s="48" customFormat="1" ht="12.75" hidden="1" customHeight="1" x14ac:dyDescent="0.2">
      <c r="B86" s="42">
        <v>61</v>
      </c>
      <c r="C86" s="38" t="str">
        <f t="shared" si="8"/>
        <v/>
      </c>
      <c r="D86" s="43" t="str">
        <f t="shared" si="9"/>
        <v/>
      </c>
      <c r="E86" s="421"/>
      <c r="F86" s="421"/>
      <c r="G86" s="43"/>
      <c r="H86" s="43"/>
      <c r="I86" s="422"/>
      <c r="J86" s="43"/>
      <c r="K86" s="38" t="str">
        <f t="shared" si="7"/>
        <v>Summe</v>
      </c>
      <c r="L86" s="412"/>
      <c r="O86" s="411"/>
      <c r="P86" s="393"/>
      <c r="Q86" s="412"/>
      <c r="R86" s="412"/>
      <c r="S86" s="6"/>
      <c r="T86" s="6"/>
      <c r="U86" s="6"/>
      <c r="V86" s="6"/>
      <c r="W86" s="6"/>
      <c r="X86" s="6"/>
      <c r="Y86" s="6"/>
      <c r="Z86" s="6"/>
      <c r="AA86" s="6"/>
    </row>
    <row r="87" spans="2:27" s="48" customFormat="1" ht="12.75" hidden="1" customHeight="1" x14ac:dyDescent="0.2">
      <c r="B87" s="42">
        <v>40</v>
      </c>
      <c r="C87" s="38" t="str">
        <f>IF(D87="","",MID(D87,1,FIND(": ",D87,1)-1)&amp;K87)</f>
        <v/>
      </c>
      <c r="D87" s="43" t="str">
        <f t="shared" ref="D87:D96" si="10">IF(OR($R$3="",AND(Q5="",R5="")),"",CONCATENATE($R$3,": ",IF(N5="","",N5&amp;", "),IF(O5="","",O5&amp;", "),IF(P5="","",P5&amp;", "),IF(Q5="","xxxx",TEXT(Q5,"# ##0,-")),", ",IF(R5="","xxxx",TEXT(R5,"# ##0,-"))))</f>
        <v/>
      </c>
      <c r="E87" s="421"/>
      <c r="F87" s="421"/>
      <c r="G87" s="43"/>
      <c r="H87" s="43"/>
      <c r="I87" s="422"/>
      <c r="J87" s="43"/>
      <c r="K87" s="38" t="str">
        <f t="shared" ref="K87:K96" si="11">IF(P5="","",MID(P5,1,15))</f>
        <v/>
      </c>
      <c r="L87" s="412"/>
      <c r="O87" s="411"/>
      <c r="P87" s="393"/>
      <c r="Q87" s="412"/>
      <c r="R87" s="412"/>
      <c r="S87" s="6"/>
      <c r="T87" s="6"/>
      <c r="U87" s="6"/>
      <c r="V87" s="6"/>
      <c r="W87" s="6"/>
      <c r="X87" s="6"/>
      <c r="Y87" s="6"/>
      <c r="Z87" s="6"/>
      <c r="AA87" s="6"/>
    </row>
    <row r="88" spans="2:27" s="48" customFormat="1" ht="12.75" hidden="1" customHeight="1" x14ac:dyDescent="0.2">
      <c r="B88" s="42">
        <v>41</v>
      </c>
      <c r="C88" s="38" t="str">
        <f t="shared" ref="C88:C96" si="12">IF(D88="","",MID(D88,1,FIND(": ",D88,1)-1)&amp;K88)</f>
        <v/>
      </c>
      <c r="D88" s="43" t="str">
        <f t="shared" si="10"/>
        <v/>
      </c>
      <c r="E88" s="421"/>
      <c r="F88" s="421"/>
      <c r="G88" s="43"/>
      <c r="H88" s="43"/>
      <c r="I88" s="422"/>
      <c r="J88" s="43"/>
      <c r="K88" s="38" t="str">
        <f t="shared" si="11"/>
        <v/>
      </c>
      <c r="L88" s="412"/>
      <c r="O88" s="411"/>
      <c r="P88" s="393"/>
      <c r="Q88" s="412"/>
      <c r="R88" s="412"/>
      <c r="S88" s="6"/>
      <c r="T88" s="6"/>
      <c r="U88" s="6"/>
      <c r="V88" s="6"/>
      <c r="W88" s="6"/>
      <c r="X88" s="6"/>
      <c r="Y88" s="6"/>
      <c r="Z88" s="6"/>
      <c r="AA88" s="6"/>
    </row>
    <row r="89" spans="2:27" s="48" customFormat="1" ht="12.75" hidden="1" customHeight="1" x14ac:dyDescent="0.2">
      <c r="B89" s="42">
        <v>42</v>
      </c>
      <c r="C89" s="38" t="str">
        <f t="shared" si="12"/>
        <v/>
      </c>
      <c r="D89" s="43" t="str">
        <f t="shared" si="10"/>
        <v/>
      </c>
      <c r="E89" s="421"/>
      <c r="F89" s="421"/>
      <c r="G89" s="43"/>
      <c r="H89" s="43"/>
      <c r="I89" s="422"/>
      <c r="J89" s="43"/>
      <c r="K89" s="38" t="str">
        <f t="shared" si="11"/>
        <v/>
      </c>
      <c r="L89" s="412"/>
      <c r="O89" s="411"/>
      <c r="P89" s="393"/>
      <c r="Q89" s="412"/>
      <c r="R89" s="412"/>
      <c r="S89" s="6"/>
      <c r="T89" s="6"/>
      <c r="U89" s="6"/>
      <c r="V89" s="6"/>
      <c r="W89" s="6"/>
      <c r="X89" s="6"/>
      <c r="Y89" s="6"/>
      <c r="Z89" s="6"/>
      <c r="AA89" s="6"/>
    </row>
    <row r="90" spans="2:27" s="48" customFormat="1" ht="12.75" hidden="1" customHeight="1" x14ac:dyDescent="0.2">
      <c r="B90" s="42">
        <v>43</v>
      </c>
      <c r="C90" s="38" t="str">
        <f t="shared" si="12"/>
        <v/>
      </c>
      <c r="D90" s="43" t="str">
        <f t="shared" si="10"/>
        <v/>
      </c>
      <c r="E90" s="421"/>
      <c r="F90" s="421"/>
      <c r="G90" s="43"/>
      <c r="H90" s="43"/>
      <c r="I90" s="422"/>
      <c r="J90" s="43"/>
      <c r="K90" s="38" t="str">
        <f t="shared" si="11"/>
        <v/>
      </c>
      <c r="L90" s="412"/>
      <c r="O90" s="411"/>
      <c r="P90" s="393"/>
      <c r="Q90" s="412"/>
      <c r="R90" s="412"/>
      <c r="S90" s="6"/>
      <c r="T90" s="6"/>
      <c r="U90" s="6"/>
      <c r="V90" s="6"/>
      <c r="W90" s="6"/>
      <c r="X90" s="6"/>
      <c r="Y90" s="6"/>
      <c r="Z90" s="6"/>
      <c r="AA90" s="6"/>
    </row>
    <row r="91" spans="2:27" s="48" customFormat="1" ht="12.75" hidden="1" customHeight="1" x14ac:dyDescent="0.2">
      <c r="B91" s="42">
        <v>44</v>
      </c>
      <c r="C91" s="38" t="str">
        <f t="shared" si="12"/>
        <v/>
      </c>
      <c r="D91" s="43" t="str">
        <f t="shared" si="10"/>
        <v/>
      </c>
      <c r="E91" s="421"/>
      <c r="F91" s="421"/>
      <c r="G91" s="43"/>
      <c r="H91" s="43"/>
      <c r="I91" s="422"/>
      <c r="J91" s="43"/>
      <c r="K91" s="38" t="str">
        <f t="shared" si="11"/>
        <v/>
      </c>
      <c r="L91" s="412"/>
      <c r="O91" s="411"/>
      <c r="P91" s="393"/>
      <c r="Q91" s="412"/>
      <c r="R91" s="412"/>
      <c r="S91" s="6"/>
      <c r="T91" s="6"/>
      <c r="U91" s="6"/>
      <c r="V91" s="6"/>
      <c r="W91" s="6"/>
      <c r="X91" s="6"/>
      <c r="Y91" s="6"/>
      <c r="Z91" s="6"/>
      <c r="AA91" s="6"/>
    </row>
    <row r="92" spans="2:27" s="48" customFormat="1" ht="12.75" hidden="1" customHeight="1" x14ac:dyDescent="0.2">
      <c r="B92" s="42">
        <v>45</v>
      </c>
      <c r="C92" s="38" t="str">
        <f t="shared" si="12"/>
        <v/>
      </c>
      <c r="D92" s="43" t="str">
        <f t="shared" si="10"/>
        <v/>
      </c>
      <c r="E92" s="421"/>
      <c r="F92" s="421"/>
      <c r="G92" s="43"/>
      <c r="H92" s="43"/>
      <c r="I92" s="422"/>
      <c r="J92" s="43"/>
      <c r="K92" s="38" t="str">
        <f t="shared" si="11"/>
        <v/>
      </c>
      <c r="L92" s="412"/>
      <c r="O92" s="411"/>
      <c r="P92" s="393"/>
      <c r="Q92" s="412"/>
      <c r="R92" s="412"/>
      <c r="S92" s="6"/>
      <c r="T92" s="6"/>
      <c r="U92" s="6"/>
      <c r="V92" s="6"/>
      <c r="W92" s="6"/>
      <c r="X92" s="6"/>
      <c r="Y92" s="6"/>
      <c r="Z92" s="6"/>
      <c r="AA92" s="6"/>
    </row>
    <row r="93" spans="2:27" s="48" customFormat="1" ht="12.75" hidden="1" customHeight="1" x14ac:dyDescent="0.2">
      <c r="B93" s="42">
        <v>46</v>
      </c>
      <c r="C93" s="38" t="str">
        <f t="shared" si="12"/>
        <v/>
      </c>
      <c r="D93" s="43" t="str">
        <f t="shared" si="10"/>
        <v/>
      </c>
      <c r="E93" s="421"/>
      <c r="F93" s="421"/>
      <c r="G93" s="43"/>
      <c r="H93" s="43"/>
      <c r="I93" s="422"/>
      <c r="J93" s="43"/>
      <c r="K93" s="38" t="str">
        <f t="shared" si="11"/>
        <v/>
      </c>
      <c r="L93" s="412"/>
      <c r="O93" s="411"/>
      <c r="P93" s="393"/>
      <c r="Q93" s="412"/>
      <c r="R93" s="412"/>
      <c r="S93" s="6"/>
      <c r="T93" s="6"/>
      <c r="U93" s="6"/>
      <c r="V93" s="6"/>
      <c r="W93" s="6"/>
      <c r="X93" s="6"/>
      <c r="Y93" s="6"/>
      <c r="Z93" s="6"/>
      <c r="AA93" s="6"/>
    </row>
    <row r="94" spans="2:27" s="48" customFormat="1" ht="12.75" hidden="1" customHeight="1" x14ac:dyDescent="0.2">
      <c r="B94" s="42">
        <v>47</v>
      </c>
      <c r="C94" s="38" t="str">
        <f t="shared" si="12"/>
        <v/>
      </c>
      <c r="D94" s="43" t="str">
        <f t="shared" si="10"/>
        <v/>
      </c>
      <c r="E94" s="421"/>
      <c r="F94" s="421"/>
      <c r="G94" s="43"/>
      <c r="H94" s="43"/>
      <c r="I94" s="422"/>
      <c r="J94" s="43"/>
      <c r="K94" s="38" t="str">
        <f t="shared" si="11"/>
        <v/>
      </c>
      <c r="L94" s="412"/>
      <c r="O94" s="411"/>
      <c r="P94" s="393"/>
      <c r="Q94" s="412"/>
      <c r="R94" s="412"/>
      <c r="S94" s="6"/>
      <c r="T94" s="6"/>
      <c r="U94" s="6"/>
      <c r="V94" s="6"/>
      <c r="W94" s="6"/>
      <c r="X94" s="6"/>
      <c r="Y94" s="6"/>
      <c r="Z94" s="6"/>
      <c r="AA94" s="6"/>
    </row>
    <row r="95" spans="2:27" s="48" customFormat="1" ht="12.75" hidden="1" customHeight="1" x14ac:dyDescent="0.2">
      <c r="B95" s="42">
        <v>48</v>
      </c>
      <c r="C95" s="38" t="str">
        <f t="shared" si="12"/>
        <v/>
      </c>
      <c r="D95" s="43" t="str">
        <f t="shared" si="10"/>
        <v/>
      </c>
      <c r="E95" s="421"/>
      <c r="F95" s="421"/>
      <c r="G95" s="43"/>
      <c r="H95" s="43"/>
      <c r="I95" s="422"/>
      <c r="J95" s="43"/>
      <c r="K95" s="38" t="str">
        <f t="shared" si="11"/>
        <v>SALDO</v>
      </c>
      <c r="L95" s="412"/>
      <c r="O95" s="411"/>
      <c r="P95" s="393"/>
      <c r="Q95" s="412"/>
      <c r="R95" s="412"/>
      <c r="S95" s="6"/>
      <c r="T95" s="6"/>
      <c r="U95" s="6"/>
      <c r="V95" s="6"/>
      <c r="W95" s="6"/>
      <c r="X95" s="6"/>
      <c r="Y95" s="6"/>
      <c r="Z95" s="6"/>
      <c r="AA95" s="6"/>
    </row>
    <row r="96" spans="2:27" s="48" customFormat="1" ht="12.75" hidden="1" customHeight="1" x14ac:dyDescent="0.2">
      <c r="B96" s="42">
        <v>49</v>
      </c>
      <c r="C96" s="38" t="str">
        <f t="shared" si="12"/>
        <v/>
      </c>
      <c r="D96" s="43" t="str">
        <f t="shared" si="10"/>
        <v/>
      </c>
      <c r="E96" s="421"/>
      <c r="F96" s="421"/>
      <c r="G96" s="43"/>
      <c r="H96" s="43"/>
      <c r="I96" s="422"/>
      <c r="J96" s="43"/>
      <c r="K96" s="38" t="str">
        <f t="shared" si="11"/>
        <v>Summe</v>
      </c>
      <c r="L96" s="412"/>
      <c r="O96" s="411"/>
      <c r="P96" s="393"/>
      <c r="Q96" s="412"/>
      <c r="R96" s="412"/>
      <c r="S96" s="6"/>
      <c r="T96" s="6"/>
      <c r="U96" s="6"/>
      <c r="V96" s="6"/>
      <c r="W96" s="6"/>
      <c r="X96" s="6"/>
      <c r="Y96" s="6"/>
      <c r="Z96" s="6"/>
      <c r="AA96" s="6"/>
    </row>
    <row r="97" spans="2:27" s="48" customFormat="1" ht="12.75" hidden="1" customHeight="1" x14ac:dyDescent="0.2">
      <c r="B97" s="42">
        <v>50</v>
      </c>
      <c r="C97" s="38" t="str">
        <f>IF(D97="","",MID(D97,1,FIND(": ",D97,1)-1)&amp;K97)</f>
        <v/>
      </c>
      <c r="D97" s="43" t="str">
        <f>IF(OR($R$16="",AND(Q18="",R18="")),"",CONCATENATE($R$16,": ",IF(N18="","",N18&amp;", "),IF(O18="","",O18&amp;", "),IF(P18="","",P18&amp;", "),IF(Q18="","xxxx",TEXT(Q18,"# ##0,-")),", ",IF(R18="","xxxx",TEXT(R18,"# ##0,-"))))</f>
        <v/>
      </c>
      <c r="E97" s="421"/>
      <c r="F97" s="421"/>
      <c r="G97" s="43"/>
      <c r="H97" s="43"/>
      <c r="I97" s="422"/>
      <c r="J97" s="43"/>
      <c r="K97" s="38" t="str">
        <f>IF(P18="","",MID(P18,1,15))</f>
        <v/>
      </c>
      <c r="L97" s="412"/>
      <c r="O97" s="411"/>
      <c r="P97" s="393"/>
      <c r="Q97" s="412"/>
      <c r="R97" s="412"/>
      <c r="S97" s="6"/>
      <c r="T97" s="6"/>
      <c r="U97" s="6"/>
      <c r="V97" s="6"/>
      <c r="W97" s="6"/>
      <c r="X97" s="6"/>
      <c r="Y97" s="6"/>
      <c r="Z97" s="6"/>
      <c r="AA97" s="6"/>
    </row>
    <row r="98" spans="2:27" s="48" customFormat="1" ht="12.75" hidden="1" customHeight="1" x14ac:dyDescent="0.2">
      <c r="B98" s="42">
        <v>51</v>
      </c>
      <c r="C98" s="38" t="str">
        <f t="shared" ref="C98:C101" si="13">IF(D98="","",MID(D98,1,FIND(": ",D98,1)-1)&amp;K98)</f>
        <v/>
      </c>
      <c r="D98" s="43" t="str">
        <f>IF(OR($R$16="",AND(Q19="",R19="")),"",CONCATENATE($R$16,": ",IF(N19="","",N19&amp;", "),IF(O19="","",O19&amp;", "),IF(P19="","",P19&amp;", "),IF(Q19="","xxxx",TEXT(Q19,"# ##0,-")),", ",IF(R19="","xxxx",TEXT(R19,"# ##0,-"))))</f>
        <v/>
      </c>
      <c r="E98" s="421"/>
      <c r="F98" s="421"/>
      <c r="G98" s="43"/>
      <c r="H98" s="43"/>
      <c r="I98" s="422"/>
      <c r="J98" s="43"/>
      <c r="K98" s="38" t="str">
        <f>IF(P19="","",MID(P19,1,15))</f>
        <v/>
      </c>
      <c r="L98" s="412"/>
      <c r="O98" s="411"/>
      <c r="P98" s="393"/>
      <c r="Q98" s="412"/>
      <c r="R98" s="412"/>
      <c r="S98" s="6"/>
      <c r="T98" s="6"/>
      <c r="U98" s="6"/>
      <c r="V98" s="6"/>
      <c r="W98" s="6"/>
      <c r="X98" s="6"/>
      <c r="Y98" s="6"/>
      <c r="Z98" s="6"/>
      <c r="AA98" s="6"/>
    </row>
    <row r="99" spans="2:27" s="48" customFormat="1" ht="12.75" hidden="1" customHeight="1" x14ac:dyDescent="0.2">
      <c r="B99" s="42">
        <v>52</v>
      </c>
      <c r="C99" s="38" t="str">
        <f t="shared" si="13"/>
        <v/>
      </c>
      <c r="D99" s="43" t="str">
        <f>IF(OR($R$16="",AND(Q20="",R20="")),"",CONCATENATE($R$16,": ",IF(N20="","",N20&amp;", "),IF(O20="","",O20&amp;", "),IF(P20="","",P20&amp;", "),IF(Q20="","xxxx",TEXT(Q20,"# ##0,-")),", ",IF(R20="","xxxx",TEXT(R20,"# ##0,-"))))</f>
        <v/>
      </c>
      <c r="E99" s="421"/>
      <c r="F99" s="421"/>
      <c r="G99" s="43"/>
      <c r="H99" s="43"/>
      <c r="I99" s="422"/>
      <c r="J99" s="43"/>
      <c r="K99" s="38" t="str">
        <f>IF(P20="","",MID(P20,1,15))</f>
        <v/>
      </c>
      <c r="L99" s="412"/>
      <c r="O99" s="411"/>
      <c r="P99" s="393"/>
      <c r="Q99" s="412"/>
      <c r="R99" s="412"/>
      <c r="S99" s="6"/>
      <c r="T99" s="6"/>
      <c r="U99" s="6"/>
      <c r="V99" s="6"/>
      <c r="W99" s="6"/>
      <c r="X99" s="6"/>
      <c r="Y99" s="6"/>
      <c r="Z99" s="6"/>
      <c r="AA99" s="6"/>
    </row>
    <row r="100" spans="2:27" s="48" customFormat="1" ht="12.75" hidden="1" customHeight="1" x14ac:dyDescent="0.2">
      <c r="B100" s="42">
        <v>53</v>
      </c>
      <c r="C100" s="38" t="str">
        <f t="shared" si="13"/>
        <v/>
      </c>
      <c r="D100" s="43" t="str">
        <f>IF(OR($R$16="",AND(Q21="",R21="")),"",CONCATENATE($R$16,": ",IF(N21="","",N21&amp;", "),IF(O21="","",O21&amp;", "),IF(P21="","",P21&amp;", "),IF(Q21="","xxxx",TEXT(Q21,"# ##0,-")),", ",IF(R21="","xxxx",TEXT(R21,"# ##0,-"))))</f>
        <v/>
      </c>
      <c r="E100" s="421"/>
      <c r="F100" s="421"/>
      <c r="G100" s="43"/>
      <c r="H100" s="43"/>
      <c r="I100" s="422"/>
      <c r="J100" s="43"/>
      <c r="K100" s="38" t="str">
        <f>IF(P21="","",MID(P21,1,15))</f>
        <v>SALDO</v>
      </c>
      <c r="L100" s="412"/>
      <c r="O100" s="411"/>
      <c r="P100" s="393"/>
      <c r="Q100" s="412"/>
      <c r="R100" s="412"/>
      <c r="S100" s="6"/>
      <c r="T100" s="6"/>
      <c r="U100" s="6"/>
      <c r="V100" s="6"/>
      <c r="W100" s="6"/>
      <c r="X100" s="6"/>
      <c r="Y100" s="6"/>
      <c r="Z100" s="6"/>
      <c r="AA100" s="6"/>
    </row>
    <row r="101" spans="2:27" s="48" customFormat="1" ht="12.75" hidden="1" customHeight="1" x14ac:dyDescent="0.2">
      <c r="B101" s="42">
        <v>54</v>
      </c>
      <c r="C101" s="38" t="str">
        <f t="shared" si="13"/>
        <v/>
      </c>
      <c r="D101" s="43" t="str">
        <f>IF(OR($R$16="",AND(Q22="",R22="")),"",CONCATENATE($R$16,": ",IF(N22="","",N22&amp;", "),IF(O22="","",O22&amp;", "),IF(P22="","",P22&amp;", "),IF(Q22="","xxxx",TEXT(Q22,"# ##0,-")),", ",IF(R22="","xxxx",TEXT(R22,"# ##0,-"))))</f>
        <v/>
      </c>
      <c r="E101" s="421"/>
      <c r="F101" s="421"/>
      <c r="G101" s="43"/>
      <c r="H101" s="43"/>
      <c r="I101" s="422"/>
      <c r="J101" s="43"/>
      <c r="K101" s="38" t="str">
        <f>IF(P22="","",MID(P22,1,15))</f>
        <v>Summe</v>
      </c>
      <c r="L101" s="412"/>
      <c r="O101" s="411"/>
      <c r="P101" s="393"/>
      <c r="Q101" s="412"/>
      <c r="R101" s="412"/>
      <c r="S101" s="6"/>
      <c r="T101" s="6"/>
      <c r="U101" s="6"/>
      <c r="V101" s="6"/>
      <c r="W101" s="6"/>
      <c r="X101" s="6"/>
      <c r="Y101" s="6"/>
      <c r="Z101" s="6"/>
      <c r="AA101" s="6"/>
    </row>
    <row r="102" spans="2:27" s="48" customFormat="1" ht="12.75" hidden="1" customHeight="1" x14ac:dyDescent="0.2">
      <c r="B102" s="42">
        <v>62</v>
      </c>
      <c r="C102" s="38" t="str">
        <f t="shared" si="0"/>
        <v/>
      </c>
      <c r="D102" s="43" t="str">
        <f>IF(OR($R$24="",AND(Q26="",R26="")),"",CONCATENATE($R$24,": ",IF(N26="","",N26&amp;", "),IF(O26="","",O26&amp;", "),IF(P26="","",P26&amp;", "),IF(Q26="","xxxx",TEXT(Q26,"# ##0,-")),", ",IF(R26="","xxxx",TEXT(R26,"# ##0,-"))))</f>
        <v/>
      </c>
      <c r="E102" s="421"/>
      <c r="F102" s="421"/>
      <c r="G102" s="43"/>
      <c r="H102" s="43"/>
      <c r="I102" s="422"/>
      <c r="J102" s="43"/>
      <c r="K102" s="38" t="str">
        <f>IF(P26="","",MID(P26,1,15))</f>
        <v/>
      </c>
      <c r="L102" s="412"/>
      <c r="O102" s="411"/>
      <c r="P102" s="393"/>
      <c r="Q102" s="412"/>
      <c r="R102" s="412"/>
      <c r="S102" s="6"/>
      <c r="T102" s="6"/>
      <c r="U102" s="6"/>
      <c r="V102" s="6"/>
      <c r="W102" s="6"/>
      <c r="X102" s="6"/>
      <c r="Y102" s="6"/>
      <c r="Z102" s="6"/>
      <c r="AA102" s="6"/>
    </row>
    <row r="103" spans="2:27" s="48" customFormat="1" ht="12.75" hidden="1" customHeight="1" x14ac:dyDescent="0.2">
      <c r="B103" s="42">
        <v>63</v>
      </c>
      <c r="C103" s="38" t="str">
        <f t="shared" si="0"/>
        <v/>
      </c>
      <c r="D103" s="43" t="str">
        <f>IF(OR($R$24="",AND(Q27="",R27="")),"",CONCATENATE($R$24,": ",IF(N27="","",N27&amp;", "),IF(O27="","",O27&amp;", "),IF(P27="","",P27&amp;", "),IF(Q27="","xxxx",TEXT(Q27,"# ##0,-")),", ",IF(R27="","xxxx",TEXT(R27,"# ##0,-"))))</f>
        <v/>
      </c>
      <c r="E103" s="421"/>
      <c r="F103" s="421"/>
      <c r="G103" s="43"/>
      <c r="H103" s="43"/>
      <c r="I103" s="422"/>
      <c r="J103" s="43"/>
      <c r="K103" s="38" t="str">
        <f>IF(P27="","",MID(P27,1,15))</f>
        <v/>
      </c>
      <c r="L103" s="412"/>
      <c r="O103" s="411"/>
      <c r="P103" s="393"/>
      <c r="Q103" s="412"/>
      <c r="R103" s="412"/>
      <c r="S103" s="6"/>
      <c r="T103" s="6"/>
      <c r="U103" s="6"/>
      <c r="V103" s="6"/>
      <c r="W103" s="6"/>
      <c r="X103" s="6"/>
      <c r="Y103" s="6"/>
      <c r="Z103" s="6"/>
      <c r="AA103" s="6"/>
    </row>
    <row r="104" spans="2:27" s="48" customFormat="1" ht="12.75" hidden="1" customHeight="1" x14ac:dyDescent="0.2">
      <c r="B104" s="42">
        <v>64</v>
      </c>
      <c r="C104" s="38" t="str">
        <f t="shared" si="0"/>
        <v/>
      </c>
      <c r="D104" s="43" t="str">
        <f>IF(OR($R$24="",AND(Q28="",R28="")),"",CONCATENATE($R$24,": ",IF(N28="","",N28&amp;", "),IF(O28="","",O28&amp;", "),IF(P28="","",P28&amp;", "),IF(Q28="","xxxx",TEXT(Q28,"# ##0,-")),", ",IF(R28="","xxxx",TEXT(R28,"# ##0,-"))))</f>
        <v/>
      </c>
      <c r="E104" s="421"/>
      <c r="F104" s="421"/>
      <c r="G104" s="43"/>
      <c r="H104" s="43"/>
      <c r="I104" s="422"/>
      <c r="J104" s="43"/>
      <c r="K104" s="38" t="str">
        <f>IF(P28="","",MID(P28,1,15))</f>
        <v/>
      </c>
      <c r="L104" s="412"/>
      <c r="O104" s="411"/>
      <c r="P104" s="393"/>
      <c r="Q104" s="412"/>
      <c r="R104" s="412"/>
      <c r="S104" s="6"/>
      <c r="T104" s="6"/>
      <c r="U104" s="6"/>
      <c r="V104" s="6"/>
      <c r="W104" s="6"/>
      <c r="X104" s="6"/>
      <c r="Y104" s="6"/>
      <c r="Z104" s="6"/>
      <c r="AA104" s="6"/>
    </row>
    <row r="105" spans="2:27" s="48" customFormat="1" ht="12.75" hidden="1" customHeight="1" x14ac:dyDescent="0.2">
      <c r="B105" s="42">
        <v>65</v>
      </c>
      <c r="C105" s="38" t="str">
        <f t="shared" si="0"/>
        <v/>
      </c>
      <c r="D105" s="43" t="str">
        <f>IF(OR($R$24="",AND(Q29="",R29="")),"",CONCATENATE($R$24,": ",IF(N29="","",N29&amp;", "),IF(O29="","",O29&amp;", "),IF(P29="","",P29&amp;", "),IF(Q29="","xxxx",TEXT(Q29,"# ##0,-")),", ",IF(R29="","xxxx",TEXT(R29,"# ##0,-"))))</f>
        <v/>
      </c>
      <c r="E105" s="421"/>
      <c r="F105" s="421"/>
      <c r="G105" s="43"/>
      <c r="H105" s="43"/>
      <c r="I105" s="422"/>
      <c r="J105" s="43"/>
      <c r="K105" s="38" t="str">
        <f>IF(P29="","",MID(P29,1,15))</f>
        <v>SALDO</v>
      </c>
      <c r="L105" s="412"/>
      <c r="O105" s="411"/>
      <c r="P105" s="393"/>
      <c r="Q105" s="412"/>
      <c r="R105" s="412"/>
      <c r="S105" s="6"/>
      <c r="T105" s="6"/>
      <c r="U105" s="6"/>
      <c r="V105" s="6"/>
      <c r="W105" s="6"/>
      <c r="X105" s="6"/>
      <c r="Y105" s="6"/>
      <c r="Z105" s="6"/>
      <c r="AA105" s="6"/>
    </row>
    <row r="106" spans="2:27" s="48" customFormat="1" ht="12.75" hidden="1" customHeight="1" x14ac:dyDescent="0.2">
      <c r="B106" s="42">
        <v>66</v>
      </c>
      <c r="C106" s="38" t="str">
        <f t="shared" ref="C106" si="14">IF(D106="","",MID(D106,1,FIND(": ",D106,1)-1)&amp;K106)</f>
        <v/>
      </c>
      <c r="D106" s="43" t="str">
        <f>IF(OR($R$24="",AND(Q30="",R30="")),"",CONCATENATE($R$24,": ",IF(N30="","",N30&amp;", "),IF(O30="","",O30&amp;", "),IF(P30="","",P30&amp;", "),IF(Q30="","xxxx",TEXT(Q30,"# ##0,-")),", ",IF(R30="","xxxx",TEXT(R30,"# ##0,-"))))</f>
        <v/>
      </c>
      <c r="E106" s="421"/>
      <c r="F106" s="421"/>
      <c r="G106" s="43"/>
      <c r="H106" s="43"/>
      <c r="I106" s="422"/>
      <c r="J106" s="43"/>
      <c r="K106" s="38" t="str">
        <f>IF(P30="","",MID(P30,1,15))</f>
        <v>Summe</v>
      </c>
      <c r="L106" s="412"/>
      <c r="O106" s="411"/>
      <c r="P106" s="393"/>
      <c r="Q106" s="412"/>
      <c r="R106" s="412"/>
      <c r="S106" s="6"/>
      <c r="T106" s="6"/>
      <c r="U106" s="6"/>
      <c r="V106" s="6"/>
      <c r="W106" s="6"/>
      <c r="X106" s="6"/>
      <c r="Y106" s="6"/>
      <c r="Z106" s="6"/>
      <c r="AA106" s="6"/>
    </row>
  </sheetData>
  <sheetProtection algorithmName="SHA-512" hashValue="oosYGnJLKiHjXXZf+41Gc5InNWbkhhYgNJ1qMos5KzxvIXtksIU1Ln2N8TWjI/RZNPyTe80P8AHVTKRBWYtZVQ==" saltValue="VX0bncKgbzVJ5Emau3yJaQ==" spinCount="100000" sheet="1" objects="1" scenarios="1"/>
  <mergeCells count="1">
    <mergeCell ref="N16:P16"/>
  </mergeCells>
  <dataValidations count="4">
    <dataValidation type="list" allowBlank="1" showInputMessage="1" showErrorMessage="1" sqref="D5:D7 D13:D28 J5:J17 J23:J29 P5:P12 P18:P20 P26:P28" xr:uid="{00000000-0002-0000-0500-000000000000}">
      <formula1>B_Text</formula1>
    </dataValidation>
    <dataValidation type="list" allowBlank="1" showInputMessage="1" showErrorMessage="1" sqref="C5:C8 C13:C29 I5:I18 I23:I29 O5:O13 O18:O21 O26:O29" xr:uid="{00000000-0002-0000-0500-000001000000}">
      <formula1>Dat</formula1>
    </dataValidation>
    <dataValidation type="list" allowBlank="1" showInputMessage="1" showErrorMessage="1" sqref="B5:B8 B13:B29 H5:H18 H23:H29 N5:N13 N18:N21 N26:N29" xr:uid="{00000000-0002-0000-0500-000002000000}">
      <formula1>BNr</formula1>
    </dataValidation>
    <dataValidation type="list" allowBlank="1" showInputMessage="1" showErrorMessage="1" sqref="F3 F11 L3 R3 L21 R24 R16" xr:uid="{00000000-0002-0000-0500-000003000000}">
      <formula1>KTONR</formula1>
    </dataValidation>
  </dataValidations>
  <pageMargins left="0.39370078740157483" right="0.78740157480314965" top="0.59055118110236227" bottom="0.59055118110236227" header="0.39370078740157483" footer="0.31496062992125984"/>
  <pageSetup paperSize="9" scale="77" orientation="landscape" blackAndWhite="1" r:id="rId1"/>
  <headerFooter>
    <oddFooter>&amp;L&amp;"+,Fett"&amp;8Seite &amp;P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5"/>
  <sheetViews>
    <sheetView showGridLines="0" showRowColHeaders="0" topLeftCell="B1" workbookViewId="0">
      <pane xSplit="1" ySplit="1" topLeftCell="C2" activePane="bottomRight" state="frozen"/>
      <selection activeCell="E5" sqref="E5"/>
      <selection pane="topRight" activeCell="E5" sqref="E5"/>
      <selection pane="bottomLeft" activeCell="E5" sqref="E5"/>
      <selection pane="bottomRight" activeCell="E4" sqref="E4"/>
    </sheetView>
  </sheetViews>
  <sheetFormatPr baseColWidth="10" defaultColWidth="0" defaultRowHeight="15" zeroHeight="1" x14ac:dyDescent="0.25"/>
  <cols>
    <col min="1" max="1" width="7.7109375" style="95" customWidth="1"/>
    <col min="2" max="2" width="0.140625" style="95" customWidth="1"/>
    <col min="3" max="3" width="4.7109375" style="95" customWidth="1"/>
    <col min="4" max="4" width="40.7109375" style="95" customWidth="1"/>
    <col min="5" max="5" width="18.7109375" style="95" customWidth="1"/>
    <col min="6" max="6" width="5.7109375" style="95" customWidth="1"/>
    <col min="7" max="16384" width="11.42578125" style="95" hidden="1"/>
  </cols>
  <sheetData>
    <row r="1" spans="3:6" s="388" customFormat="1" ht="27" customHeight="1" x14ac:dyDescent="0.3">
      <c r="C1" s="73" t="s">
        <v>131</v>
      </c>
      <c r="D1" s="73"/>
      <c r="E1" s="73"/>
      <c r="F1" s="73"/>
    </row>
    <row r="2" spans="3:6" s="388" customFormat="1" ht="30" customHeight="1" x14ac:dyDescent="0.3"/>
    <row r="3" spans="3:6" s="388" customFormat="1" ht="23.25" x14ac:dyDescent="0.35">
      <c r="C3" s="389" t="s">
        <v>132</v>
      </c>
    </row>
    <row r="4" spans="3:6" s="388" customFormat="1" ht="18.75" x14ac:dyDescent="0.3">
      <c r="D4" s="388" t="s">
        <v>133</v>
      </c>
      <c r="E4" s="529"/>
    </row>
    <row r="5" spans="3:6" s="388" customFormat="1" ht="18.75" x14ac:dyDescent="0.3">
      <c r="C5" s="388" t="s">
        <v>134</v>
      </c>
      <c r="D5" s="388" t="s">
        <v>135</v>
      </c>
      <c r="E5" s="529"/>
    </row>
    <row r="6" spans="3:6" s="391" customFormat="1" ht="18.75" x14ac:dyDescent="0.3">
      <c r="C6" s="390" t="s">
        <v>136</v>
      </c>
      <c r="D6" s="390" t="s">
        <v>137</v>
      </c>
      <c r="E6" s="530"/>
    </row>
    <row r="7" spans="3:6" s="388" customFormat="1" ht="18.75" x14ac:dyDescent="0.3">
      <c r="C7" s="388" t="s">
        <v>138</v>
      </c>
      <c r="D7" s="388" t="s">
        <v>139</v>
      </c>
      <c r="E7" s="531"/>
    </row>
    <row r="8" spans="3:6" s="388" customFormat="1" ht="18.75" x14ac:dyDescent="0.3">
      <c r="C8" s="388" t="s">
        <v>134</v>
      </c>
      <c r="D8" s="388" t="s">
        <v>140</v>
      </c>
      <c r="E8" s="529"/>
    </row>
    <row r="9" spans="3:6" s="391" customFormat="1" ht="19.5" thickBot="1" x14ac:dyDescent="0.35">
      <c r="C9" s="392" t="s">
        <v>136</v>
      </c>
      <c r="D9" s="392" t="str">
        <f>IF(E9="","Gewinn/Verlust",IF(E9&lt;0,"Verlust","Gewinn"))</f>
        <v>Gewinn/Verlust</v>
      </c>
      <c r="E9" s="532"/>
    </row>
    <row r="10" spans="3:6" s="388" customFormat="1" ht="60" customHeight="1" thickTop="1" x14ac:dyDescent="0.3"/>
    <row r="11" spans="3:6" s="388" customFormat="1" ht="23.25" x14ac:dyDescent="0.35">
      <c r="C11" s="389" t="s">
        <v>141</v>
      </c>
    </row>
    <row r="12" spans="3:6" s="388" customFormat="1" ht="18.75" x14ac:dyDescent="0.3">
      <c r="D12" s="388" t="s">
        <v>142</v>
      </c>
      <c r="E12" s="529"/>
    </row>
    <row r="13" spans="3:6" s="388" customFormat="1" ht="18.75" x14ac:dyDescent="0.3">
      <c r="C13" s="388" t="s">
        <v>134</v>
      </c>
      <c r="D13" s="388" t="s">
        <v>143</v>
      </c>
      <c r="E13" s="529"/>
    </row>
    <row r="14" spans="3:6" s="388" customFormat="1" ht="19.5" thickBot="1" x14ac:dyDescent="0.35">
      <c r="C14" s="392" t="s">
        <v>136</v>
      </c>
      <c r="D14" s="392" t="str">
        <f>IF(E14="","Gewinn/Verlust",IF(E14&lt;0,"Verlust","Gewinn"))</f>
        <v>Gewinn/Verlust</v>
      </c>
      <c r="E14" s="532"/>
    </row>
    <row r="15" spans="3:6" ht="15.75" thickTop="1" x14ac:dyDescent="0.25"/>
  </sheetData>
  <sheetProtection algorithmName="SHA-512" hashValue="GN09ZFjtnN5+cAwgZFKgFMIfLN539DoYhuHbieVDIrb3sJ0OSlohA3faXDUGHByD8uyDwnn74IyTJsDROLukNA==" saltValue="Ge+IGee4IYHex6NxjE/l7g==" spinCount="100000" sheet="1" objects="1" scenarios="1"/>
  <pageMargins left="0.39370078740157483" right="0.39370078740157483" top="1.1811023622047245" bottom="0.59055118110236227" header="0.39370078740157483" footer="0.31496062992125984"/>
  <pageSetup paperSize="9" scale="85" orientation="portrait" blackAndWhite="1" r:id="rId1"/>
  <headerFooter>
    <oddHeader>&amp;L&amp;G</oddHeader>
    <oddFooter>&amp;R&amp;"+,Fett"&amp;8Seite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O266"/>
  <sheetViews>
    <sheetView showGridLines="0" showRowColHeaders="0" workbookViewId="0">
      <pane ySplit="6" topLeftCell="A7" activePane="bottomLeft" state="frozen"/>
      <selection pane="bottomLeft" activeCell="A7" sqref="A7"/>
    </sheetView>
  </sheetViews>
  <sheetFormatPr baseColWidth="10" defaultColWidth="0" defaultRowHeight="15" zeroHeight="1" x14ac:dyDescent="0.25"/>
  <cols>
    <col min="1" max="1" width="2.28515625" customWidth="1"/>
    <col min="2" max="2" width="33.7109375" customWidth="1"/>
    <col min="3" max="3" width="8.7109375" customWidth="1"/>
    <col min="4" max="4" width="10.7109375" customWidth="1"/>
    <col min="5" max="5" width="1.140625" customWidth="1"/>
    <col min="6" max="6" width="10" hidden="1" customWidth="1"/>
    <col min="7" max="7" width="1.140625" hidden="1" customWidth="1"/>
    <col min="8" max="8" width="10.7109375" customWidth="1"/>
    <col min="9" max="9" width="13.85546875" customWidth="1"/>
    <col min="10" max="10" width="7.7109375" customWidth="1"/>
    <col min="11" max="11" width="1.7109375" customWidth="1"/>
    <col min="12" max="12" width="7.7109375" customWidth="1"/>
    <col min="13" max="13" width="140.7109375" style="384" customWidth="1"/>
    <col min="14" max="15" width="2.7109375" hidden="1" customWidth="1"/>
    <col min="16" max="16384" width="11.42578125" hidden="1"/>
  </cols>
  <sheetData>
    <row r="1" spans="1:14" ht="32.450000000000003" customHeight="1" thickTop="1" thickBot="1" x14ac:dyDescent="0.5">
      <c r="A1" s="232" t="s">
        <v>144</v>
      </c>
      <c r="B1" s="233"/>
      <c r="C1" s="233"/>
      <c r="D1" s="233"/>
      <c r="E1" s="233"/>
      <c r="F1" s="233"/>
      <c r="G1" s="233"/>
      <c r="H1" s="234"/>
      <c r="I1" s="233"/>
      <c r="J1" s="233"/>
      <c r="K1" s="233"/>
      <c r="L1" s="233"/>
      <c r="M1" s="385"/>
      <c r="N1" s="235" t="str">
        <f>IF(B2="Du musst zuerst alle Berechnungn durchführen, um das Ergebnis ansehen zu können!","","x")</f>
        <v>x</v>
      </c>
    </row>
    <row r="2" spans="1:14" ht="32.450000000000003" customHeight="1" thickTop="1" x14ac:dyDescent="0.25">
      <c r="A2" s="236" t="str">
        <f>IF(D258=H258,"Du musst zuerst alle Berechnungn durchführen, um das Ergebnis ansehen zu können!","")</f>
        <v/>
      </c>
      <c r="B2" s="237"/>
      <c r="C2" s="236"/>
      <c r="D2" s="236"/>
      <c r="E2" s="236"/>
      <c r="F2" s="236"/>
      <c r="G2" s="236"/>
      <c r="H2" s="236"/>
      <c r="I2" s="236"/>
      <c r="J2" s="236"/>
      <c r="K2" s="236"/>
      <c r="L2" s="236"/>
      <c r="M2" s="385"/>
      <c r="N2" s="238"/>
    </row>
    <row r="3" spans="1:14" x14ac:dyDescent="0.25">
      <c r="A3" s="239"/>
      <c r="B3" s="240" t="s">
        <v>145</v>
      </c>
      <c r="C3" s="238"/>
      <c r="D3" s="238"/>
      <c r="E3" s="240"/>
      <c r="F3" s="240"/>
      <c r="G3" s="240"/>
      <c r="H3" s="241"/>
      <c r="I3" s="238"/>
      <c r="J3" s="242"/>
      <c r="K3" s="238"/>
      <c r="L3" s="243"/>
      <c r="M3" s="385"/>
      <c r="N3" s="244" t="str">
        <f>IF($N$1="","",$N$1)</f>
        <v>x</v>
      </c>
    </row>
    <row r="4" spans="1:14" ht="3.95" customHeight="1" x14ac:dyDescent="0.25">
      <c r="A4" s="238"/>
      <c r="B4" s="240"/>
      <c r="C4" s="238"/>
      <c r="D4" s="238"/>
      <c r="E4" s="240"/>
      <c r="F4" s="240"/>
      <c r="G4" s="240"/>
      <c r="H4" s="241"/>
      <c r="I4" s="238"/>
      <c r="J4" s="242"/>
      <c r="K4" s="238"/>
      <c r="L4" s="243"/>
      <c r="M4" s="385"/>
      <c r="N4" s="245" t="str">
        <f>N3</f>
        <v>x</v>
      </c>
    </row>
    <row r="5" spans="1:14" x14ac:dyDescent="0.25">
      <c r="A5" s="246"/>
      <c r="B5" s="240" t="s">
        <v>146</v>
      </c>
      <c r="C5" s="238"/>
      <c r="D5" s="238"/>
      <c r="E5" s="240"/>
      <c r="F5" s="240"/>
      <c r="G5" s="240"/>
      <c r="H5" s="241"/>
      <c r="I5" s="238"/>
      <c r="J5" s="242"/>
      <c r="K5" s="238"/>
      <c r="L5" s="243"/>
      <c r="M5" s="385"/>
      <c r="N5" s="244" t="str">
        <f>IF($N$1="","",$N$1)</f>
        <v>x</v>
      </c>
    </row>
    <row r="6" spans="1:14" x14ac:dyDescent="0.25">
      <c r="A6" s="238"/>
      <c r="B6" s="238"/>
      <c r="C6" s="238"/>
      <c r="D6" s="238"/>
      <c r="E6" s="240"/>
      <c r="F6" s="240"/>
      <c r="G6" s="240"/>
      <c r="H6" s="241"/>
      <c r="I6" s="238"/>
      <c r="J6" s="242"/>
      <c r="K6" s="238"/>
      <c r="L6" s="243"/>
      <c r="M6" s="385"/>
      <c r="N6" s="245" t="str">
        <f>N5</f>
        <v>x</v>
      </c>
    </row>
    <row r="7" spans="1:14" ht="22.5" x14ac:dyDescent="0.25">
      <c r="A7" s="247"/>
      <c r="B7" s="248"/>
      <c r="C7" s="249"/>
      <c r="D7" s="250" t="s">
        <v>147</v>
      </c>
      <c r="E7" s="250"/>
      <c r="F7" s="251" t="s">
        <v>148</v>
      </c>
      <c r="G7" s="249"/>
      <c r="H7" s="251" t="s">
        <v>149</v>
      </c>
      <c r="I7" s="252" t="str">
        <f>"Fehler"</f>
        <v>Fehler</v>
      </c>
      <c r="J7" s="253" t="s">
        <v>150</v>
      </c>
      <c r="K7" s="253"/>
      <c r="L7" s="253"/>
      <c r="M7" s="385"/>
      <c r="N7" s="244" t="str">
        <f t="shared" ref="N7:N70" si="0">IF($N$1="","",$N$1)</f>
        <v>x</v>
      </c>
    </row>
    <row r="8" spans="1:14" ht="12.75" customHeight="1" x14ac:dyDescent="0.25">
      <c r="A8" s="254" t="s">
        <v>151</v>
      </c>
      <c r="B8" s="254" t="s">
        <v>152</v>
      </c>
      <c r="C8" s="238"/>
      <c r="D8" s="255"/>
      <c r="E8" s="238"/>
      <c r="F8" s="238"/>
      <c r="G8" s="238"/>
      <c r="H8" s="256"/>
      <c r="I8" s="257"/>
      <c r="J8" s="257"/>
      <c r="K8" s="258" t="str">
        <f>IF(L8="","","│")</f>
        <v/>
      </c>
      <c r="L8" s="258" t="str">
        <f>IF(OR(B8="-",N8="",AND(D8="",H8="")),"",1)</f>
        <v/>
      </c>
      <c r="M8" s="385"/>
      <c r="N8" s="259" t="str">
        <f t="shared" si="0"/>
        <v>x</v>
      </c>
    </row>
    <row r="9" spans="1:14" ht="12.75" customHeight="1" x14ac:dyDescent="0.25">
      <c r="A9" s="238"/>
      <c r="B9" s="260" t="s">
        <v>153</v>
      </c>
      <c r="C9" s="238" t="s">
        <v>154</v>
      </c>
      <c r="D9" s="255"/>
      <c r="E9" s="238"/>
      <c r="F9" s="238"/>
      <c r="G9" s="238"/>
      <c r="H9" s="256"/>
      <c r="I9" s="261" t="str">
        <f>IF(AND(D9="",H9=""),"",IF(H9=D9,"Richtig!",IF(H9="","Fehlt","Falsch")))</f>
        <v/>
      </c>
      <c r="J9" s="261"/>
      <c r="K9" s="258" t="str">
        <f>IF(L9="","","│")</f>
        <v/>
      </c>
      <c r="L9" s="258" t="str">
        <f>IF(OR(B9="-",N9="",AND(D9="",H9="")),"",1)</f>
        <v/>
      </c>
      <c r="M9" s="385"/>
      <c r="N9" s="259" t="str">
        <f t="shared" si="0"/>
        <v>x</v>
      </c>
    </row>
    <row r="10" spans="1:14" ht="12.75" customHeight="1" x14ac:dyDescent="0.25">
      <c r="A10" s="238"/>
      <c r="B10" s="240" t="str">
        <f>'B-BF'!C5</f>
        <v>AB Gebäude</v>
      </c>
      <c r="C10" s="262" t="str">
        <f>'B-BF'!A5</f>
        <v>EB</v>
      </c>
      <c r="D10" s="263" t="str">
        <f>IF(OR('H-BF'!E5="",'H-BF'!G5=""),"",'H-BF'!E5&amp;"/"&amp;'H-BF'!G5)</f>
        <v xml:space="preserve"> 03000/ 98000</v>
      </c>
      <c r="E10" s="264"/>
      <c r="F10" s="264"/>
      <c r="G10" s="238"/>
      <c r="H10" s="265" t="str">
        <f>IF(OR('B-BF'!E5="",'B-BF'!G5=""),"",'B-BF'!E5&amp;"/"&amp;'B-BF'!G5)</f>
        <v/>
      </c>
      <c r="I10" s="261" t="str">
        <f>IF(AND(D10="",H10=""),"",IF(H10=D10,"Richtig!",IF(H10="","Fehlt","Falsch")))</f>
        <v>Fehlt</v>
      </c>
      <c r="J10" s="266">
        <f t="shared" ref="J10:J19" si="1">IF(OR($N10&lt;&gt;"x",AND(D10="",H10="")),"-",IF(I10="Richtig!",1,IF(I10="Formel: OK",0.5,IF(OR(I10="Falsch",I10="Fehlt"),0,""))))</f>
        <v>0</v>
      </c>
      <c r="K10" s="258" t="s">
        <v>155</v>
      </c>
      <c r="L10" s="258">
        <f t="shared" ref="L10:L19" si="2">IF(OR($N10&lt;&gt;"x",AND(D10="",H10="")),"-",1)</f>
        <v>1</v>
      </c>
      <c r="M10" s="386" t="str">
        <f t="shared" ref="M10:M19" si="3">IF(D10="","│----------│","│"&amp;D10&amp;"│                         │")&amp;IF(H10="","----------│",H10&amp;"│")</f>
        <v>│ 03000/ 98000│                         │----------│</v>
      </c>
      <c r="N10" s="259" t="str">
        <f t="shared" si="0"/>
        <v>x</v>
      </c>
    </row>
    <row r="11" spans="1:14" ht="12.75" customHeight="1" x14ac:dyDescent="0.25">
      <c r="A11" s="238"/>
      <c r="B11" s="240" t="str">
        <f>'B-BF'!C6</f>
        <v>AB Maschinen</v>
      </c>
      <c r="C11" s="262" t="str">
        <f>'B-BF'!A6</f>
        <v>EB</v>
      </c>
      <c r="D11" s="263" t="str">
        <f>IF(AND('H-BF'!E6="",'H-BF'!G6=""),"",'H-BF'!E6&amp;"/"&amp;'H-BF'!G6)</f>
        <v xml:space="preserve"> 04000/ 98000</v>
      </c>
      <c r="E11" s="264"/>
      <c r="F11" s="264"/>
      <c r="G11" s="238"/>
      <c r="H11" s="265" t="str">
        <f>IF(AND('B-BF'!E6="",'B-BF'!G6=""),"",'B-BF'!E6&amp;"/"&amp;'B-BF'!G6)</f>
        <v/>
      </c>
      <c r="I11" s="261" t="str">
        <f t="shared" ref="I11:I41" si="4">IF(AND(D11="",H11=""),"",IF(H11=D11,"Richtig!",IF(H11="","Fehlt","Falsch")))</f>
        <v>Fehlt</v>
      </c>
      <c r="J11" s="266">
        <f t="shared" si="1"/>
        <v>0</v>
      </c>
      <c r="K11" s="258" t="s">
        <v>155</v>
      </c>
      <c r="L11" s="258">
        <f t="shared" si="2"/>
        <v>1</v>
      </c>
      <c r="M11" s="386" t="str">
        <f t="shared" si="3"/>
        <v>│ 04000/ 98000│                         │----------│</v>
      </c>
      <c r="N11" s="259" t="str">
        <f t="shared" si="0"/>
        <v>x</v>
      </c>
    </row>
    <row r="12" spans="1:14" ht="12.75" customHeight="1" x14ac:dyDescent="0.25">
      <c r="A12" s="238"/>
      <c r="B12" s="240" t="str">
        <f>'B-BF'!C7</f>
        <v>AB Schafe</v>
      </c>
      <c r="C12" s="262" t="str">
        <f>'B-BF'!A7</f>
        <v>EB</v>
      </c>
      <c r="D12" s="263" t="str">
        <f>IF(AND('H-BF'!E7="",'H-BF'!G7=""),"",'H-BF'!E7&amp;"/"&amp;'H-BF'!G7)</f>
        <v xml:space="preserve"> 14300/ 98000</v>
      </c>
      <c r="E12" s="264"/>
      <c r="F12" s="264"/>
      <c r="G12" s="238"/>
      <c r="H12" s="265" t="str">
        <f>IF(AND('B-BF'!E7="",'B-BF'!G7=""),"",'B-BF'!E7&amp;"/"&amp;'B-BF'!G7)</f>
        <v/>
      </c>
      <c r="I12" s="261" t="str">
        <f t="shared" si="4"/>
        <v>Fehlt</v>
      </c>
      <c r="J12" s="266">
        <f t="shared" si="1"/>
        <v>0</v>
      </c>
      <c r="K12" s="258" t="s">
        <v>155</v>
      </c>
      <c r="L12" s="258">
        <f t="shared" si="2"/>
        <v>1</v>
      </c>
      <c r="M12" s="386" t="str">
        <f t="shared" si="3"/>
        <v>│ 14300/ 98000│                         │----------│</v>
      </c>
      <c r="N12" s="259" t="str">
        <f t="shared" si="0"/>
        <v>x</v>
      </c>
    </row>
    <row r="13" spans="1:14" ht="12.75" customHeight="1" x14ac:dyDescent="0.25">
      <c r="A13" s="238"/>
      <c r="B13" s="240" t="str">
        <f>'B-BF'!C8</f>
        <v>AB Vorräte selbsterz.</v>
      </c>
      <c r="C13" s="262" t="str">
        <f>'B-BF'!A8</f>
        <v>EB</v>
      </c>
      <c r="D13" s="263" t="str">
        <f>IF(AND('H-BF'!E8="",'H-BF'!G8=""),"",'H-BF'!E8&amp;"/"&amp;'H-BF'!G8)</f>
        <v xml:space="preserve"> 14020/ 98000</v>
      </c>
      <c r="E13" s="264"/>
      <c r="F13" s="264"/>
      <c r="G13" s="238"/>
      <c r="H13" s="265" t="str">
        <f>IF(AND('B-BF'!E8="",'B-BF'!G8=""),"",'B-BF'!E8&amp;"/"&amp;'B-BF'!G8)</f>
        <v/>
      </c>
      <c r="I13" s="261" t="str">
        <f t="shared" si="4"/>
        <v>Fehlt</v>
      </c>
      <c r="J13" s="266">
        <f t="shared" si="1"/>
        <v>0</v>
      </c>
      <c r="K13" s="258" t="s">
        <v>155</v>
      </c>
      <c r="L13" s="258">
        <f t="shared" si="2"/>
        <v>1</v>
      </c>
      <c r="M13" s="386" t="str">
        <f t="shared" si="3"/>
        <v>│ 14020/ 98000│                         │----------│</v>
      </c>
      <c r="N13" s="259" t="str">
        <f t="shared" si="0"/>
        <v>x</v>
      </c>
    </row>
    <row r="14" spans="1:14" ht="12.75" customHeight="1" x14ac:dyDescent="0.25">
      <c r="A14" s="238"/>
      <c r="B14" s="240" t="str">
        <f>'B-BF'!C9</f>
        <v>AB Vorräte zugekaufte</v>
      </c>
      <c r="C14" s="262" t="str">
        <f>'B-BF'!A9</f>
        <v>EB</v>
      </c>
      <c r="D14" s="263" t="str">
        <f>IF(AND('H-BF'!E9="",'H-BF'!G9=""),"",'H-BF'!E9&amp;"/"&amp;'H-BF'!G9)</f>
        <v xml:space="preserve"> 11050/ 98000</v>
      </c>
      <c r="E14" s="264"/>
      <c r="F14" s="264"/>
      <c r="G14" s="238"/>
      <c r="H14" s="265" t="str">
        <f>IF(AND('B-BF'!E9="",'B-BF'!G9=""),"",'B-BF'!E9&amp;"/"&amp;'B-BF'!G9)</f>
        <v/>
      </c>
      <c r="I14" s="261" t="str">
        <f t="shared" si="4"/>
        <v>Fehlt</v>
      </c>
      <c r="J14" s="266">
        <f t="shared" si="1"/>
        <v>0</v>
      </c>
      <c r="K14" s="258" t="s">
        <v>155</v>
      </c>
      <c r="L14" s="258">
        <f t="shared" si="2"/>
        <v>1</v>
      </c>
      <c r="M14" s="386" t="str">
        <f t="shared" si="3"/>
        <v>│ 11050/ 98000│                         │----------│</v>
      </c>
      <c r="N14" s="259" t="str">
        <f t="shared" si="0"/>
        <v>x</v>
      </c>
    </row>
    <row r="15" spans="1:14" ht="12.75" customHeight="1" x14ac:dyDescent="0.25">
      <c r="A15" s="238"/>
      <c r="B15" s="240" t="str">
        <f>'B-BF'!C10</f>
        <v>AB Kassa (Bargeld)</v>
      </c>
      <c r="C15" s="262" t="str">
        <f>'B-BF'!A10</f>
        <v>EB</v>
      </c>
      <c r="D15" s="263" t="str">
        <f>IF(AND('H-BF'!E10="",'H-BF'!G10=""),"",'H-BF'!E10&amp;"/"&amp;'H-BF'!G10)</f>
        <v xml:space="preserve"> 27000/ 98000</v>
      </c>
      <c r="E15" s="264"/>
      <c r="F15" s="264"/>
      <c r="G15" s="238"/>
      <c r="H15" s="265" t="str">
        <f>IF(AND('B-BF'!E10="",'B-BF'!G10=""),"",'B-BF'!E10&amp;"/"&amp;'B-BF'!G10)</f>
        <v/>
      </c>
      <c r="I15" s="261" t="str">
        <f t="shared" si="4"/>
        <v>Fehlt</v>
      </c>
      <c r="J15" s="266">
        <f t="shared" si="1"/>
        <v>0</v>
      </c>
      <c r="K15" s="258" t="s">
        <v>155</v>
      </c>
      <c r="L15" s="258">
        <f t="shared" si="2"/>
        <v>1</v>
      </c>
      <c r="M15" s="386" t="str">
        <f t="shared" si="3"/>
        <v>│ 27000/ 98000│                         │----------│</v>
      </c>
      <c r="N15" s="259" t="str">
        <f t="shared" si="0"/>
        <v>x</v>
      </c>
    </row>
    <row r="16" spans="1:14" ht="12.75" customHeight="1" x14ac:dyDescent="0.25">
      <c r="A16" s="238"/>
      <c r="B16" s="240" t="str">
        <f>'B-BF'!C11</f>
        <v>AB Giro (Bankguthaben)</v>
      </c>
      <c r="C16" s="262" t="str">
        <f>'B-BF'!A11</f>
        <v>EB</v>
      </c>
      <c r="D16" s="263" t="str">
        <f>IF(AND('H-BF'!E11="",'H-BF'!G11=""),"",'H-BF'!E11&amp;"/"&amp;'H-BF'!G11)</f>
        <v xml:space="preserve"> 28000/ 98000</v>
      </c>
      <c r="E16" s="264"/>
      <c r="F16" s="264"/>
      <c r="G16" s="238"/>
      <c r="H16" s="265" t="str">
        <f>IF(AND('B-BF'!E11="",'B-BF'!G11=""),"",'B-BF'!E11&amp;"/"&amp;'B-BF'!G11)</f>
        <v/>
      </c>
      <c r="I16" s="261" t="str">
        <f t="shared" si="4"/>
        <v>Fehlt</v>
      </c>
      <c r="J16" s="266">
        <f t="shared" si="1"/>
        <v>0</v>
      </c>
      <c r="K16" s="258" t="s">
        <v>155</v>
      </c>
      <c r="L16" s="258">
        <f t="shared" si="2"/>
        <v>1</v>
      </c>
      <c r="M16" s="386" t="str">
        <f t="shared" si="3"/>
        <v>│ 28000/ 98000│                         │----------│</v>
      </c>
      <c r="N16" s="259" t="str">
        <f t="shared" si="0"/>
        <v>x</v>
      </c>
    </row>
    <row r="17" spans="1:14" ht="12.75" customHeight="1" x14ac:dyDescent="0.25">
      <c r="A17" s="238"/>
      <c r="B17" s="240" t="str">
        <f>'B-BF'!C12</f>
        <v>AB Forderungen
Metzger Müller</v>
      </c>
      <c r="C17" s="262" t="str">
        <f>'B-BF'!A12</f>
        <v>EB</v>
      </c>
      <c r="D17" s="263" t="str">
        <f>IF(AND('H-BF'!E12="",'H-BF'!G12=""),"",'H-BF'!E12&amp;"/"&amp;'H-BF'!G12)</f>
        <v xml:space="preserve"> 200002/ 98000</v>
      </c>
      <c r="E17" s="264"/>
      <c r="F17" s="264"/>
      <c r="G17" s="238"/>
      <c r="H17" s="265" t="str">
        <f>IF(AND('B-BF'!E12="",'B-BF'!G12=""),"",'B-BF'!E12&amp;"/"&amp;'B-BF'!G12)</f>
        <v/>
      </c>
      <c r="I17" s="261" t="str">
        <f t="shared" si="4"/>
        <v>Fehlt</v>
      </c>
      <c r="J17" s="266">
        <f t="shared" si="1"/>
        <v>0</v>
      </c>
      <c r="K17" s="258" t="s">
        <v>155</v>
      </c>
      <c r="L17" s="258">
        <f t="shared" si="2"/>
        <v>1</v>
      </c>
      <c r="M17" s="386" t="str">
        <f t="shared" si="3"/>
        <v>│ 200002/ 98000│                         │----------│</v>
      </c>
      <c r="N17" s="259" t="str">
        <f t="shared" si="0"/>
        <v>x</v>
      </c>
    </row>
    <row r="18" spans="1:14" ht="12.75" customHeight="1" x14ac:dyDescent="0.25">
      <c r="A18" s="238"/>
      <c r="B18" s="240" t="str">
        <f>'B-BF'!C13</f>
        <v>AB Verbindlichkeiten Maschinenring Imst</v>
      </c>
      <c r="C18" s="262" t="str">
        <f>'B-BF'!A13</f>
        <v>EB</v>
      </c>
      <c r="D18" s="263" t="str">
        <f>IF(AND('H-BF'!E13="",'H-BF'!G13=""),"",'H-BF'!E13&amp;"/"&amp;'H-BF'!G13)</f>
        <v xml:space="preserve"> 98000/ 330001</v>
      </c>
      <c r="E18" s="264"/>
      <c r="F18" s="264"/>
      <c r="G18" s="238"/>
      <c r="H18" s="265" t="str">
        <f>IF(AND('B-BF'!E13="",'B-BF'!G13=""),"",'B-BF'!E13&amp;"/"&amp;'B-BF'!G13)</f>
        <v/>
      </c>
      <c r="I18" s="261" t="str">
        <f t="shared" si="4"/>
        <v>Fehlt</v>
      </c>
      <c r="J18" s="266">
        <f t="shared" si="1"/>
        <v>0</v>
      </c>
      <c r="K18" s="258" t="s">
        <v>155</v>
      </c>
      <c r="L18" s="258">
        <f t="shared" si="2"/>
        <v>1</v>
      </c>
      <c r="M18" s="386" t="str">
        <f t="shared" si="3"/>
        <v>│ 98000/ 330001│                         │----------│</v>
      </c>
      <c r="N18" s="259" t="str">
        <f t="shared" si="0"/>
        <v>x</v>
      </c>
    </row>
    <row r="19" spans="1:14" ht="12.75" customHeight="1" x14ac:dyDescent="0.25">
      <c r="A19" s="238"/>
      <c r="B19" s="240" t="str">
        <f>'B-BF'!C14</f>
        <v>AB Darlehen</v>
      </c>
      <c r="C19" s="262" t="str">
        <f>'B-BF'!A14</f>
        <v>EB</v>
      </c>
      <c r="D19" s="263" t="str">
        <f>IF(AND('H-BF'!E14="",'H-BF'!G14=""),"",'H-BF'!E14&amp;"/"&amp;'H-BF'!G14)</f>
        <v xml:space="preserve"> 98000/ 31510</v>
      </c>
      <c r="E19" s="264"/>
      <c r="F19" s="264"/>
      <c r="G19" s="238"/>
      <c r="H19" s="265" t="str">
        <f>IF(AND('B-BF'!E14="",'B-BF'!G14=""),"",'B-BF'!E14&amp;"/"&amp;'B-BF'!G14)</f>
        <v/>
      </c>
      <c r="I19" s="261" t="str">
        <f t="shared" si="4"/>
        <v>Fehlt</v>
      </c>
      <c r="J19" s="266">
        <f t="shared" si="1"/>
        <v>0</v>
      </c>
      <c r="K19" s="258" t="s">
        <v>155</v>
      </c>
      <c r="L19" s="258">
        <f t="shared" si="2"/>
        <v>1</v>
      </c>
      <c r="M19" s="386" t="str">
        <f t="shared" si="3"/>
        <v>│ 98000/ 31510│                         │----------│</v>
      </c>
      <c r="N19" s="259" t="str">
        <f t="shared" si="0"/>
        <v>x</v>
      </c>
    </row>
    <row r="20" spans="1:14" ht="12.75" customHeight="1" x14ac:dyDescent="0.25">
      <c r="A20" s="238"/>
      <c r="B20" s="260" t="s">
        <v>156</v>
      </c>
      <c r="C20" s="262" t="s">
        <v>154</v>
      </c>
      <c r="D20" s="255"/>
      <c r="E20" s="238"/>
      <c r="F20" s="238"/>
      <c r="G20" s="238"/>
      <c r="H20" s="241"/>
      <c r="I20" s="261"/>
      <c r="J20" s="267"/>
      <c r="K20" s="258"/>
      <c r="L20" s="258"/>
      <c r="M20" s="386"/>
      <c r="N20" s="259" t="str">
        <f t="shared" si="0"/>
        <v>x</v>
      </c>
    </row>
    <row r="21" spans="1:14" ht="12.75" customHeight="1" x14ac:dyDescent="0.25">
      <c r="A21" s="238"/>
      <c r="B21" s="240" t="str">
        <f>IF('B-BF'!C18="","",'B-BF'!C18)</f>
        <v>Metzger Müller zahlt Rechnung aus Vorjahr</v>
      </c>
      <c r="C21" s="262" t="str">
        <f>IF('B-BF'!A18="","",'B-BF'!A18)</f>
        <v>K1</v>
      </c>
      <c r="D21" s="263" t="str">
        <f>IF(AND('H-BF'!G18="",'H-BF'!I18=""),"",'H-BF'!G18&amp;"/"&amp;'H-BF'!I18)</f>
        <v xml:space="preserve"> 27000/ 200002</v>
      </c>
      <c r="E21" s="264"/>
      <c r="F21" s="264"/>
      <c r="G21" s="238"/>
      <c r="H21" s="265" t="str">
        <f>IF(AND('B-BF'!G18="",'B-BF'!I18=""),"",'B-BF'!G18&amp;"/"&amp;'B-BF'!I18)</f>
        <v/>
      </c>
      <c r="I21" s="261" t="str">
        <f t="shared" si="4"/>
        <v>Fehlt</v>
      </c>
      <c r="J21" s="266">
        <f t="shared" ref="J21:J35" si="5">IF(OR($N21&lt;&gt;"x",AND(D21="",H21="")),"-",IF(I21="Richtig!",1,IF(I21="Formel: OK",0.5,IF(OR(I21="Falsch",I21="Fehlt"),0,""))))</f>
        <v>0</v>
      </c>
      <c r="K21" s="258" t="s">
        <v>155</v>
      </c>
      <c r="L21" s="258">
        <f t="shared" ref="L21:L35" si="6">IF(OR($N21&lt;&gt;"x",AND(D21="",H21="")),"-",1)</f>
        <v>1</v>
      </c>
      <c r="M21" s="386" t="str">
        <f t="shared" ref="M21:M35" si="7">IF(D21="","│----------│","│"&amp;D21&amp;"│                         │")&amp;IF(H21="","----------│",H21&amp;"│")</f>
        <v>│ 27000/ 200002│                         │----------│</v>
      </c>
      <c r="N21" s="259" t="str">
        <f t="shared" si="0"/>
        <v>x</v>
      </c>
    </row>
    <row r="22" spans="1:14" ht="12.75" customHeight="1" x14ac:dyDescent="0.25">
      <c r="A22" s="238"/>
      <c r="B22" s="240" t="str">
        <f>IF('B-BF'!C19="","",'B-BF'!C19)</f>
        <v>Zahlung MR-Rechnung Vorjahr</v>
      </c>
      <c r="C22" s="262" t="str">
        <f>IF('B-BF'!A19="","",'B-BF'!A19)</f>
        <v>B1</v>
      </c>
      <c r="D22" s="263" t="str">
        <f>IF(AND('H-BF'!G19="",'H-BF'!I19=""),"",'H-BF'!G19&amp;"/"&amp;'H-BF'!I19)</f>
        <v xml:space="preserve"> 330001/ 28000</v>
      </c>
      <c r="E22" s="264"/>
      <c r="F22" s="264"/>
      <c r="G22" s="238"/>
      <c r="H22" s="265" t="str">
        <f>IF(AND('B-BF'!G19="",'B-BF'!I19=""),"",'B-BF'!G19&amp;"/"&amp;'B-BF'!I19)</f>
        <v/>
      </c>
      <c r="I22" s="261" t="str">
        <f t="shared" si="4"/>
        <v>Fehlt</v>
      </c>
      <c r="J22" s="266">
        <f t="shared" si="5"/>
        <v>0</v>
      </c>
      <c r="K22" s="258" t="s">
        <v>155</v>
      </c>
      <c r="L22" s="258">
        <f t="shared" si="6"/>
        <v>1</v>
      </c>
      <c r="M22" s="386" t="str">
        <f t="shared" si="7"/>
        <v>│ 330001/ 28000│                         │----------│</v>
      </c>
      <c r="N22" s="259" t="str">
        <f t="shared" si="0"/>
        <v>x</v>
      </c>
    </row>
    <row r="23" spans="1:14" ht="12.75" customHeight="1" x14ac:dyDescent="0.25">
      <c r="A23" s="238"/>
      <c r="B23" s="240" t="str">
        <f>IF('B-BF'!C20="","",'B-BF'!C20)</f>
        <v>Treibstoffkauf</v>
      </c>
      <c r="C23" s="262" t="str">
        <f>IF('B-BF'!A20="","",'B-BF'!A20)</f>
        <v>B2</v>
      </c>
      <c r="D23" s="263" t="str">
        <f>IF(AND('H-BF'!G20="",'H-BF'!I20=""),"",'H-BF'!G20&amp;"/"&amp;'H-BF'!I20)</f>
        <v xml:space="preserve"> 56015/ 28000</v>
      </c>
      <c r="E23" s="264"/>
      <c r="F23" s="264"/>
      <c r="G23" s="238"/>
      <c r="H23" s="265" t="str">
        <f>IF(AND('B-BF'!G20="",'B-BF'!I20=""),"",'B-BF'!G20&amp;"/"&amp;'B-BF'!I20)</f>
        <v/>
      </c>
      <c r="I23" s="261" t="str">
        <f t="shared" si="4"/>
        <v>Fehlt</v>
      </c>
      <c r="J23" s="266">
        <f t="shared" si="5"/>
        <v>0</v>
      </c>
      <c r="K23" s="258" t="s">
        <v>155</v>
      </c>
      <c r="L23" s="258">
        <f t="shared" si="6"/>
        <v>1</v>
      </c>
      <c r="M23" s="386" t="str">
        <f t="shared" si="7"/>
        <v>│ 56015/ 28000│                         │----------│</v>
      </c>
      <c r="N23" s="259" t="str">
        <f t="shared" si="0"/>
        <v>x</v>
      </c>
    </row>
    <row r="24" spans="1:14" ht="12.75" customHeight="1" x14ac:dyDescent="0.25">
      <c r="A24" s="238"/>
      <c r="B24" s="240" t="str">
        <f>IF('B-BF'!C21="","",'B-BF'!C21)</f>
        <v>Zuchtschafverkauf</v>
      </c>
      <c r="C24" s="262" t="str">
        <f>IF('B-BF'!A21="","",'B-BF'!A21)</f>
        <v>A1</v>
      </c>
      <c r="D24" s="263" t="str">
        <f>IF(AND('H-BF'!G21="",'H-BF'!I21=""),"",'H-BF'!G21&amp;"/"&amp;'H-BF'!I21)</f>
        <v xml:space="preserve"> 200001/ 41400</v>
      </c>
      <c r="E24" s="264"/>
      <c r="F24" s="264"/>
      <c r="G24" s="238"/>
      <c r="H24" s="265" t="str">
        <f>IF(AND('B-BF'!G21="",'B-BF'!I21=""),"",'B-BF'!G21&amp;"/"&amp;'B-BF'!I21)</f>
        <v/>
      </c>
      <c r="I24" s="261" t="str">
        <f t="shared" si="4"/>
        <v>Fehlt</v>
      </c>
      <c r="J24" s="266">
        <f t="shared" si="5"/>
        <v>0</v>
      </c>
      <c r="K24" s="258" t="s">
        <v>155</v>
      </c>
      <c r="L24" s="258">
        <f t="shared" si="6"/>
        <v>1</v>
      </c>
      <c r="M24" s="386" t="str">
        <f t="shared" si="7"/>
        <v>│ 200001/ 41400│                         │----------│</v>
      </c>
      <c r="N24" s="259" t="str">
        <f t="shared" si="0"/>
        <v>x</v>
      </c>
    </row>
    <row r="25" spans="1:14" ht="12.75" customHeight="1" x14ac:dyDescent="0.25">
      <c r="A25" s="238"/>
      <c r="B25" s="240" t="str">
        <f>IF('B-BF'!C22="","",'B-BF'!C22)</f>
        <v>TSV überweist Vesteigerungsentgelt</v>
      </c>
      <c r="C25" s="262" t="str">
        <f>IF('B-BF'!A22="","",'B-BF'!A22)</f>
        <v>B3</v>
      </c>
      <c r="D25" s="263" t="str">
        <f>IF(AND('H-BF'!G22="",'H-BF'!I22=""),"",'H-BF'!G22&amp;"/"&amp;'H-BF'!I22)</f>
        <v xml:space="preserve"> 28000/ 200001</v>
      </c>
      <c r="E25" s="264"/>
      <c r="F25" s="264"/>
      <c r="G25" s="238"/>
      <c r="H25" s="265" t="str">
        <f>IF(AND('B-BF'!G22="",'B-BF'!I22=""),"",'B-BF'!G22&amp;"/"&amp;'B-BF'!I22)</f>
        <v/>
      </c>
      <c r="I25" s="261" t="str">
        <f t="shared" si="4"/>
        <v>Fehlt</v>
      </c>
      <c r="J25" s="266">
        <f t="shared" si="5"/>
        <v>0</v>
      </c>
      <c r="K25" s="258" t="s">
        <v>155</v>
      </c>
      <c r="L25" s="258">
        <f t="shared" si="6"/>
        <v>1</v>
      </c>
      <c r="M25" s="386" t="str">
        <f t="shared" si="7"/>
        <v>│ 28000/ 200001│                         │----------│</v>
      </c>
      <c r="N25" s="259" t="str">
        <f t="shared" si="0"/>
        <v>x</v>
      </c>
    </row>
    <row r="26" spans="1:14" ht="12.75" customHeight="1" x14ac:dyDescent="0.25">
      <c r="A26" s="238"/>
      <c r="B26" s="240" t="str">
        <f>IF('B-BF'!C23="","",'B-BF'!C23)</f>
        <v>Kauf Kreiselzetter</v>
      </c>
      <c r="C26" s="262" t="str">
        <f>IF('B-BF'!A23="","",'B-BF'!A23)</f>
        <v>B4</v>
      </c>
      <c r="D26" s="263" t="str">
        <f>IF(AND('H-BF'!G23="",'H-BF'!I23=""),"",'H-BF'!G23&amp;"/"&amp;'H-BF'!I23)</f>
        <v xml:space="preserve"> 04000/ 28000</v>
      </c>
      <c r="E26" s="264"/>
      <c r="F26" s="264"/>
      <c r="G26" s="238"/>
      <c r="H26" s="265" t="str">
        <f>IF(AND('B-BF'!G23="",'B-BF'!I23=""),"",'B-BF'!G23&amp;"/"&amp;'B-BF'!I23)</f>
        <v/>
      </c>
      <c r="I26" s="261" t="str">
        <f t="shared" si="4"/>
        <v>Fehlt</v>
      </c>
      <c r="J26" s="266">
        <f t="shared" si="5"/>
        <v>0</v>
      </c>
      <c r="K26" s="258" t="s">
        <v>155</v>
      </c>
      <c r="L26" s="258">
        <f t="shared" si="6"/>
        <v>1</v>
      </c>
      <c r="M26" s="386" t="str">
        <f t="shared" si="7"/>
        <v>│ 04000/ 28000│                         │----------│</v>
      </c>
      <c r="N26" s="259" t="str">
        <f t="shared" si="0"/>
        <v>x</v>
      </c>
    </row>
    <row r="27" spans="1:14" ht="12.75" customHeight="1" x14ac:dyDescent="0.25">
      <c r="A27" s="238"/>
      <c r="B27" s="240" t="str">
        <f>IF('B-BF'!C24="","",'B-BF'!C24)</f>
        <v>Milchgeld (Schafmilch, Sammelbeleg)</v>
      </c>
      <c r="C27" s="262" t="str">
        <f>IF('B-BF'!A24="","",'B-BF'!A24)</f>
        <v>K2</v>
      </c>
      <c r="D27" s="263" t="str">
        <f>IF(AND('H-BF'!G24="",'H-BF'!I24=""),"",'H-BF'!G24&amp;"/"&amp;'H-BF'!I24)</f>
        <v xml:space="preserve"> 27000/ 41400</v>
      </c>
      <c r="E27" s="264"/>
      <c r="F27" s="264"/>
      <c r="G27" s="238"/>
      <c r="H27" s="265" t="str">
        <f>IF(AND('B-BF'!G24="",'B-BF'!I24=""),"",'B-BF'!G24&amp;"/"&amp;'B-BF'!I24)</f>
        <v/>
      </c>
      <c r="I27" s="261" t="str">
        <f t="shared" si="4"/>
        <v>Fehlt</v>
      </c>
      <c r="J27" s="266">
        <f t="shared" si="5"/>
        <v>0</v>
      </c>
      <c r="K27" s="258" t="s">
        <v>155</v>
      </c>
      <c r="L27" s="258">
        <f t="shared" si="6"/>
        <v>1</v>
      </c>
      <c r="M27" s="386" t="str">
        <f t="shared" si="7"/>
        <v>│ 27000/ 41400│                         │----------│</v>
      </c>
      <c r="N27" s="259" t="str">
        <f t="shared" si="0"/>
        <v>x</v>
      </c>
    </row>
    <row r="28" spans="1:14" ht="12.75" customHeight="1" x14ac:dyDescent="0.25">
      <c r="A28" s="238"/>
      <c r="B28" s="240" t="str">
        <f>IF('B-BF'!C25="","",'B-BF'!C25)</f>
        <v>Wohnhausumbau</v>
      </c>
      <c r="C28" s="262" t="str">
        <f>IF('B-BF'!A25="","",'B-BF'!A25)</f>
        <v>B5</v>
      </c>
      <c r="D28" s="263" t="str">
        <f>IF(AND('H-BF'!G25="",'H-BF'!I25=""),"",'H-BF'!G25&amp;"/"&amp;'H-BF'!I25)</f>
        <v xml:space="preserve"> 96000/ 28000</v>
      </c>
      <c r="E28" s="264"/>
      <c r="F28" s="264"/>
      <c r="G28" s="238"/>
      <c r="H28" s="265" t="str">
        <f>IF(AND('B-BF'!G25="",'B-BF'!I25=""),"",'B-BF'!G25&amp;"/"&amp;'B-BF'!I25)</f>
        <v/>
      </c>
      <c r="I28" s="261" t="str">
        <f t="shared" si="4"/>
        <v>Fehlt</v>
      </c>
      <c r="J28" s="266">
        <f t="shared" si="5"/>
        <v>0</v>
      </c>
      <c r="K28" s="258" t="s">
        <v>155</v>
      </c>
      <c r="L28" s="258">
        <f t="shared" si="6"/>
        <v>1</v>
      </c>
      <c r="M28" s="386" t="str">
        <f t="shared" si="7"/>
        <v>│ 96000/ 28000│                         │----------│</v>
      </c>
      <c r="N28" s="259" t="str">
        <f t="shared" si="0"/>
        <v>x</v>
      </c>
    </row>
    <row r="29" spans="1:14" ht="12.75" hidden="1" customHeight="1" x14ac:dyDescent="0.25">
      <c r="A29" s="238"/>
      <c r="B29" s="240" t="str">
        <f>IF('B-BF'!C26="","",'B-BF'!C26)</f>
        <v>Rückzahlung Darlehen</v>
      </c>
      <c r="C29" s="262" t="str">
        <f>IF('B-BF'!A26="","",'B-BF'!A26)</f>
        <v>B6</v>
      </c>
      <c r="D29" s="263" t="str">
        <f>IF(AND('H-BF'!G26="",'H-BF'!I26=""),"",'H-BF'!G26&amp;"/"&amp;'H-BF'!I26)</f>
        <v/>
      </c>
      <c r="E29" s="264"/>
      <c r="F29" s="264"/>
      <c r="G29" s="238"/>
      <c r="H29" s="265" t="str">
        <f>IF(AND('B-BF'!G26="",'B-BF'!I26=""),"",'B-BF'!G26&amp;"/"&amp;'B-BF'!I26)</f>
        <v/>
      </c>
      <c r="I29" s="261" t="str">
        <f t="shared" si="4"/>
        <v/>
      </c>
      <c r="J29" s="266" t="str">
        <f t="shared" si="5"/>
        <v>-</v>
      </c>
      <c r="K29" s="258" t="s">
        <v>155</v>
      </c>
      <c r="L29" s="258" t="str">
        <f t="shared" si="6"/>
        <v>-</v>
      </c>
      <c r="M29" s="386" t="str">
        <f t="shared" si="7"/>
        <v>│----------│----------│</v>
      </c>
      <c r="N29" s="259" t="str">
        <f t="shared" si="0"/>
        <v>x</v>
      </c>
    </row>
    <row r="30" spans="1:14" ht="12.75" customHeight="1" x14ac:dyDescent="0.25">
      <c r="A30" s="238"/>
      <c r="B30" s="240" t="str">
        <f>IF('B-BF'!C27="","",'B-BF'!C27)</f>
        <v xml:space="preserve">Darl.: Tilgung </v>
      </c>
      <c r="C30" s="262" t="str">
        <f>IF('B-BF'!A27="","",'B-BF'!A27)</f>
        <v>B6</v>
      </c>
      <c r="D30" s="263" t="str">
        <f>IF(AND('H-BF'!G27="",'H-BF'!I27=""),"",'H-BF'!G27&amp;"/"&amp;'H-BF'!I27)</f>
        <v xml:space="preserve"> 31510/ 28000</v>
      </c>
      <c r="E30" s="264"/>
      <c r="F30" s="264"/>
      <c r="G30" s="238"/>
      <c r="H30" s="265" t="str">
        <f>IF(AND('B-BF'!G27="",'B-BF'!I27=""),"",'B-BF'!G27&amp;"/"&amp;'B-BF'!I27)</f>
        <v/>
      </c>
      <c r="I30" s="261" t="str">
        <f t="shared" si="4"/>
        <v>Fehlt</v>
      </c>
      <c r="J30" s="266">
        <f t="shared" si="5"/>
        <v>0</v>
      </c>
      <c r="K30" s="258" t="s">
        <v>155</v>
      </c>
      <c r="L30" s="258">
        <f t="shared" si="6"/>
        <v>1</v>
      </c>
      <c r="M30" s="386" t="str">
        <f t="shared" si="7"/>
        <v>│ 31510/ 28000│                         │----------│</v>
      </c>
      <c r="N30" s="259" t="str">
        <f t="shared" si="0"/>
        <v>x</v>
      </c>
    </row>
    <row r="31" spans="1:14" ht="12.75" customHeight="1" x14ac:dyDescent="0.25">
      <c r="A31" s="238"/>
      <c r="B31" s="240" t="str">
        <f>IF('B-BF'!C28="","",'B-BF'!C28)</f>
        <v>Darl.: Zinsen</v>
      </c>
      <c r="C31" s="262" t="str">
        <f>IF('B-BF'!A28="","",'B-BF'!A28)</f>
        <v>B6</v>
      </c>
      <c r="D31" s="263" t="str">
        <f>IF(AND('H-BF'!G28="",'H-BF'!I28=""),"",'H-BF'!G28&amp;"/"&amp;'H-BF'!I28)</f>
        <v xml:space="preserve"> 82800/</v>
      </c>
      <c r="E31" s="264"/>
      <c r="F31" s="264"/>
      <c r="G31" s="238"/>
      <c r="H31" s="265" t="str">
        <f>IF(AND('B-BF'!G28="",'B-BF'!I28=""),"",'B-BF'!G28&amp;"/"&amp;'B-BF'!I28)</f>
        <v/>
      </c>
      <c r="I31" s="261" t="str">
        <f t="shared" si="4"/>
        <v>Fehlt</v>
      </c>
      <c r="J31" s="266">
        <f t="shared" si="5"/>
        <v>0</v>
      </c>
      <c r="K31" s="258" t="s">
        <v>155</v>
      </c>
      <c r="L31" s="258">
        <f t="shared" si="6"/>
        <v>1</v>
      </c>
      <c r="M31" s="386" t="str">
        <f t="shared" si="7"/>
        <v>│ 82800/│                         │----------│</v>
      </c>
      <c r="N31" s="259" t="str">
        <f t="shared" si="0"/>
        <v>x</v>
      </c>
    </row>
    <row r="32" spans="1:14" ht="12.75" customHeight="1" x14ac:dyDescent="0.25">
      <c r="A32" s="238"/>
      <c r="B32" s="240" t="str">
        <f>IF('B-BF'!C29="","",'B-BF'!C29)</f>
        <v>Eigenverbrauch Schafmilchprodukte</v>
      </c>
      <c r="C32" s="262" t="str">
        <f>IF('B-BF'!A29="","",'B-BF'!A29)</f>
        <v>UB1</v>
      </c>
      <c r="D32" s="263" t="str">
        <f>IF(AND('H-BF'!G29="",'H-BF'!I29=""),"",'H-BF'!G29&amp;"/"&amp;'H-BF'!I29)</f>
        <v xml:space="preserve"> 96000/ 41400</v>
      </c>
      <c r="E32" s="264"/>
      <c r="F32" s="264"/>
      <c r="G32" s="238"/>
      <c r="H32" s="265" t="str">
        <f>IF(AND('B-BF'!G29="",'B-BF'!I29=""),"",'B-BF'!G29&amp;"/"&amp;'B-BF'!I29)</f>
        <v/>
      </c>
      <c r="I32" s="261" t="str">
        <f t="shared" si="4"/>
        <v>Fehlt</v>
      </c>
      <c r="J32" s="266">
        <f t="shared" si="5"/>
        <v>0</v>
      </c>
      <c r="K32" s="258" t="s">
        <v>155</v>
      </c>
      <c r="L32" s="258">
        <f t="shared" si="6"/>
        <v>1</v>
      </c>
      <c r="M32" s="386" t="str">
        <f t="shared" si="7"/>
        <v>│ 96000/ 41400│                         │----------│</v>
      </c>
      <c r="N32" s="259" t="str">
        <f t="shared" si="0"/>
        <v>x</v>
      </c>
    </row>
    <row r="33" spans="1:14" ht="12.75" hidden="1" customHeight="1" x14ac:dyDescent="0.25">
      <c r="A33" s="238"/>
      <c r="B33" s="240" t="str">
        <f>IF('B-BF'!C30="","",'B-BF'!C30)</f>
        <v xml:space="preserve">Milch </v>
      </c>
      <c r="C33" s="262" t="str">
        <f>IF('B-BF'!A30="","",'B-BF'!A30)</f>
        <v/>
      </c>
      <c r="D33" s="263" t="str">
        <f>IF(AND('H-BF'!G30="",'H-BF'!I30=""),"",'H-BF'!G30&amp;"/"&amp;'H-BF'!I30)</f>
        <v/>
      </c>
      <c r="E33" s="264"/>
      <c r="F33" s="264"/>
      <c r="G33" s="238"/>
      <c r="H33" s="265" t="str">
        <f>IF(AND('B-BF'!G30="",'B-BF'!I30=""),"",'B-BF'!G30&amp;"/"&amp;'B-BF'!I30)</f>
        <v/>
      </c>
      <c r="I33" s="261" t="str">
        <f t="shared" si="4"/>
        <v/>
      </c>
      <c r="J33" s="266" t="str">
        <f t="shared" si="5"/>
        <v>-</v>
      </c>
      <c r="K33" s="258" t="s">
        <v>155</v>
      </c>
      <c r="L33" s="258" t="str">
        <f t="shared" si="6"/>
        <v>-</v>
      </c>
      <c r="M33" s="386" t="str">
        <f t="shared" si="7"/>
        <v>│----------│----------│</v>
      </c>
      <c r="N33" s="259" t="str">
        <f t="shared" si="0"/>
        <v>x</v>
      </c>
    </row>
    <row r="34" spans="1:14" ht="12.75" hidden="1" customHeight="1" x14ac:dyDescent="0.25">
      <c r="A34" s="238"/>
      <c r="B34" s="240" t="str">
        <f>IF('B-BF'!C31="","",'B-BF'!C31)</f>
        <v>Butter</v>
      </c>
      <c r="C34" s="262" t="str">
        <f>IF('B-BF'!A31="","",'B-BF'!A31)</f>
        <v/>
      </c>
      <c r="D34" s="263" t="str">
        <f>IF(AND('H-BF'!G31="",'H-BF'!I31=""),"",'H-BF'!G31&amp;"/"&amp;'H-BF'!I31)</f>
        <v/>
      </c>
      <c r="E34" s="264"/>
      <c r="F34" s="264"/>
      <c r="G34" s="238"/>
      <c r="H34" s="265" t="str">
        <f>IF(AND('B-BF'!G31="",'B-BF'!I31=""),"",'B-BF'!G31&amp;"/"&amp;'B-BF'!I31)</f>
        <v/>
      </c>
      <c r="I34" s="261" t="str">
        <f t="shared" si="4"/>
        <v/>
      </c>
      <c r="J34" s="266" t="str">
        <f t="shared" si="5"/>
        <v>-</v>
      </c>
      <c r="K34" s="258" t="s">
        <v>155</v>
      </c>
      <c r="L34" s="258" t="str">
        <f t="shared" si="6"/>
        <v>-</v>
      </c>
      <c r="M34" s="386" t="str">
        <f t="shared" si="7"/>
        <v>│----------│----------│</v>
      </c>
      <c r="N34" s="259" t="str">
        <f t="shared" si="0"/>
        <v>x</v>
      </c>
    </row>
    <row r="35" spans="1:14" ht="12.75" hidden="1" customHeight="1" x14ac:dyDescent="0.25">
      <c r="A35" s="238"/>
      <c r="B35" s="240" t="str">
        <f>IF('B-BF'!C32="","",'B-BF'!C32)</f>
        <v>Käse</v>
      </c>
      <c r="C35" s="262" t="str">
        <f>IF('B-BF'!A32="","",'B-BF'!A32)</f>
        <v/>
      </c>
      <c r="D35" s="263" t="str">
        <f>IF(AND('H-BF'!G32="",'H-BF'!I32=""),"",'H-BF'!G32&amp;"/"&amp;'H-BF'!I32)</f>
        <v/>
      </c>
      <c r="E35" s="264"/>
      <c r="F35" s="264"/>
      <c r="G35" s="238"/>
      <c r="H35" s="265" t="str">
        <f>IF(AND('B-BF'!G32="",'B-BF'!I32=""),"",'B-BF'!G32&amp;"/"&amp;'B-BF'!I32)</f>
        <v/>
      </c>
      <c r="I35" s="261" t="str">
        <f t="shared" si="4"/>
        <v/>
      </c>
      <c r="J35" s="266" t="str">
        <f t="shared" si="5"/>
        <v>-</v>
      </c>
      <c r="K35" s="258" t="s">
        <v>155</v>
      </c>
      <c r="L35" s="258" t="str">
        <f t="shared" si="6"/>
        <v>-</v>
      </c>
      <c r="M35" s="386" t="str">
        <f t="shared" si="7"/>
        <v>│----------│----------│</v>
      </c>
      <c r="N35" s="259" t="str">
        <f t="shared" si="0"/>
        <v>x</v>
      </c>
    </row>
    <row r="36" spans="1:14" ht="12.75" customHeight="1" x14ac:dyDescent="0.25">
      <c r="A36" s="238"/>
      <c r="B36" s="260" t="s">
        <v>157</v>
      </c>
      <c r="C36" s="262" t="s">
        <v>154</v>
      </c>
      <c r="D36" s="255"/>
      <c r="E36" s="238"/>
      <c r="F36" s="238"/>
      <c r="G36" s="238"/>
      <c r="H36" s="241"/>
      <c r="I36" s="261"/>
      <c r="J36" s="267"/>
      <c r="K36" s="258"/>
      <c r="L36" s="258"/>
      <c r="M36" s="386"/>
      <c r="N36" s="259" t="str">
        <f t="shared" si="0"/>
        <v>x</v>
      </c>
    </row>
    <row r="37" spans="1:14" ht="12.75" customHeight="1" x14ac:dyDescent="0.25">
      <c r="A37" s="238"/>
      <c r="B37" s="240" t="str">
        <f>IF('B-BF'!C37="","",'B-BF'!C37)</f>
        <v>Afa Gebäude</v>
      </c>
      <c r="C37" s="262" t="str">
        <f>IF('B-BF'!A37="","",'B-BF'!A37)</f>
        <v>AB</v>
      </c>
      <c r="D37" s="263" t="str">
        <f>IF(AND('H-BF'!E37="",'H-BF'!G37=""),"",'H-BF'!E37&amp;"/"&amp;'H-BF'!G37)</f>
        <v xml:space="preserve"> 70200/ 03000</v>
      </c>
      <c r="E37" s="264"/>
      <c r="F37" s="264"/>
      <c r="G37" s="238"/>
      <c r="H37" s="265" t="str">
        <f>IF(AND('B-BF'!E37="",'B-BF'!G37=""),"",'B-BF'!E37&amp;"/"&amp;'B-BF'!G37)</f>
        <v/>
      </c>
      <c r="I37" s="261" t="str">
        <f t="shared" si="4"/>
        <v>Fehlt</v>
      </c>
      <c r="J37" s="266">
        <f>IF(OR($N37&lt;&gt;"x",AND(D37="",H37="")),"-",IF(I37="Richtig!",1,IF(I37="Formel: OK",0.5,IF(OR(I37="Falsch",I37="Fehlt"),0,""))))</f>
        <v>0</v>
      </c>
      <c r="K37" s="258" t="s">
        <v>155</v>
      </c>
      <c r="L37" s="258">
        <f>IF(OR($N37&lt;&gt;"x",AND(D37="",H37="")),"-",1)</f>
        <v>1</v>
      </c>
      <c r="M37" s="386" t="str">
        <f>IF(D37="","│----------│","│"&amp;D37&amp;"│                         │")&amp;IF(H37="","----------│",H37&amp;"│")</f>
        <v>│ 70200/ 03000│                         │----------│</v>
      </c>
      <c r="N37" s="259" t="str">
        <f t="shared" si="0"/>
        <v>x</v>
      </c>
    </row>
    <row r="38" spans="1:14" ht="12.75" customHeight="1" x14ac:dyDescent="0.25">
      <c r="A38" s="238"/>
      <c r="B38" s="240" t="str">
        <f>IF('B-BF'!C38="","",'B-BF'!C38)</f>
        <v>Afa Maschinen</v>
      </c>
      <c r="C38" s="262" t="str">
        <f>IF('B-BF'!A38="","",'B-BF'!A38)</f>
        <v>AB</v>
      </c>
      <c r="D38" s="263" t="str">
        <f>IF(AND('H-BF'!E38="",'H-BF'!G38=""),"",'H-BF'!E38&amp;"/"&amp;'H-BF'!G38)</f>
        <v xml:space="preserve"> 70200/ 04000</v>
      </c>
      <c r="E38" s="264"/>
      <c r="F38" s="264"/>
      <c r="G38" s="238"/>
      <c r="H38" s="265" t="str">
        <f>IF(AND('B-BF'!E38="",'B-BF'!G38=""),"",'B-BF'!E38&amp;"/"&amp;'B-BF'!G38)</f>
        <v/>
      </c>
      <c r="I38" s="261" t="str">
        <f t="shared" si="4"/>
        <v>Fehlt</v>
      </c>
      <c r="J38" s="266">
        <f>IF(OR($N38&lt;&gt;"x",AND(D38="",H38="")),"-",IF(I38="Richtig!",1,IF(I38="Formel: OK",0.5,IF(OR(I38="Falsch",I38="Fehlt"),0,""))))</f>
        <v>0</v>
      </c>
      <c r="K38" s="258" t="s">
        <v>155</v>
      </c>
      <c r="L38" s="258">
        <f>IF(OR($N38&lt;&gt;"x",AND(D38="",H38="")),"-",1)</f>
        <v>1</v>
      </c>
      <c r="M38" s="386" t="str">
        <f>IF(D38="","│----------│","│"&amp;D38&amp;"│                         │")&amp;IF(H38="","----------│",H38&amp;"│")</f>
        <v>│ 70200/ 04000│                         │----------│</v>
      </c>
      <c r="N38" s="259" t="str">
        <f t="shared" si="0"/>
        <v>x</v>
      </c>
    </row>
    <row r="39" spans="1:14" ht="12.75" customHeight="1" x14ac:dyDescent="0.25">
      <c r="A39" s="238"/>
      <c r="B39" s="240" t="str">
        <f>IF('B-BF'!C40="","",'B-BF'!C40)</f>
        <v>Mehrwert Schafe</v>
      </c>
      <c r="C39" s="262" t="str">
        <f>IF('B-BF'!A40="","",'B-BF'!A40)</f>
        <v>AB</v>
      </c>
      <c r="D39" s="263" t="str">
        <f>IF(AND('H-BF'!E40="",'H-BF'!G40=""),"",'H-BF'!E40&amp;"/"&amp;'H-BF'!G40)</f>
        <v xml:space="preserve"> 14300/ 41400</v>
      </c>
      <c r="E39" s="264"/>
      <c r="F39" s="264"/>
      <c r="G39" s="238"/>
      <c r="H39" s="265" t="str">
        <f>IF(AND('B-BF'!E40="",'B-BF'!G40=""),"",'B-BF'!E40&amp;"/"&amp;'B-BF'!G40)</f>
        <v/>
      </c>
      <c r="I39" s="261" t="str">
        <f t="shared" si="4"/>
        <v>Fehlt</v>
      </c>
      <c r="J39" s="266">
        <f>IF(OR($N39&lt;&gt;"x",AND(D39="",H39="")),"-",IF(I39="Richtig!",1,IF(I39="Formel: OK",0.5,IF(OR(I39="Falsch",I39="Fehlt"),0,""))))</f>
        <v>0</v>
      </c>
      <c r="K39" s="258" t="s">
        <v>155</v>
      </c>
      <c r="L39" s="258">
        <f>IF(OR($N39&lt;&gt;"x",AND(D39="",H39="")),"-",1)</f>
        <v>1</v>
      </c>
      <c r="M39" s="386" t="str">
        <f>IF(D39="","│----------│","│"&amp;D39&amp;"│                         │")&amp;IF(H39="","----------│",H39&amp;"│")</f>
        <v>│ 14300/ 41400│                         │----------│</v>
      </c>
      <c r="N39" s="259" t="str">
        <f t="shared" si="0"/>
        <v>x</v>
      </c>
    </row>
    <row r="40" spans="1:14" ht="12.75" customHeight="1" x14ac:dyDescent="0.25">
      <c r="A40" s="238"/>
      <c r="B40" s="240" t="str">
        <f>IF('B-BF'!C41="","",'B-BF'!C41)</f>
        <v>Minderwert se. Vorr. (Schafskäse)</v>
      </c>
      <c r="C40" s="262" t="str">
        <f>IF('B-BF'!A41="","",'B-BF'!A41)</f>
        <v>AB</v>
      </c>
      <c r="D40" s="263" t="str">
        <f>IF(AND('H-BF'!E41="",'H-BF'!G41=""),"",'H-BF'!E41&amp;"/"&amp;'H-BF'!G41)</f>
        <v xml:space="preserve"> 41400/ 14020</v>
      </c>
      <c r="E40" s="264"/>
      <c r="F40" s="264"/>
      <c r="G40" s="238"/>
      <c r="H40" s="265" t="str">
        <f>IF(AND('B-BF'!E41="",'B-BF'!G41=""),"",'B-BF'!E41&amp;"/"&amp;'B-BF'!G41)</f>
        <v/>
      </c>
      <c r="I40" s="261" t="str">
        <f t="shared" si="4"/>
        <v>Fehlt</v>
      </c>
      <c r="J40" s="266">
        <f>IF(OR($N40&lt;&gt;"x",AND(D40="",H40="")),"-",IF(I40="Richtig!",1,IF(I40="Formel: OK",0.5,IF(OR(I40="Falsch",I40="Fehlt"),0,""))))</f>
        <v>0</v>
      </c>
      <c r="K40" s="258" t="s">
        <v>155</v>
      </c>
      <c r="L40" s="258">
        <f>IF(OR($N40&lt;&gt;"x",AND(D40="",H40="")),"-",1)</f>
        <v>1</v>
      </c>
      <c r="M40" s="386" t="str">
        <f>IF(D40="","│----------│","│"&amp;D40&amp;"│                         │")&amp;IF(H40="","----------│",H40&amp;"│")</f>
        <v>│ 41400/ 14020│                         │----------│</v>
      </c>
      <c r="N40" s="259" t="str">
        <f t="shared" si="0"/>
        <v>x</v>
      </c>
    </row>
    <row r="41" spans="1:14" ht="12.75" customHeight="1" x14ac:dyDescent="0.25">
      <c r="A41" s="238"/>
      <c r="B41" s="240" t="str">
        <f>IF('B-BF'!C42="","",'B-BF'!C42)</f>
        <v>Mehrwert zk. Vorr. (Treibstoff)</v>
      </c>
      <c r="C41" s="262" t="str">
        <f>IF('B-BF'!A42="","",'B-BF'!A42)</f>
        <v>AB</v>
      </c>
      <c r="D41" s="263" t="str">
        <f>IF(AND('H-BF'!E42="",'H-BF'!G42=""),"",'H-BF'!E42&amp;"/"&amp;'H-BF'!G42)</f>
        <v xml:space="preserve"> 11050/ 56015</v>
      </c>
      <c r="E41" s="264"/>
      <c r="F41" s="264"/>
      <c r="G41" s="238"/>
      <c r="H41" s="265" t="str">
        <f>IF(AND('B-BF'!E42="",'B-BF'!G42=""),"",'B-BF'!E42&amp;"/"&amp;'B-BF'!G42)</f>
        <v/>
      </c>
      <c r="I41" s="261" t="str">
        <f t="shared" si="4"/>
        <v>Fehlt</v>
      </c>
      <c r="J41" s="266">
        <f>IF(OR($N41&lt;&gt;"x",AND(D41="",H41="")),"-",IF(I41="Richtig!",1,IF(I41="Formel: OK",0.5,IF(OR(I41="Falsch",I41="Fehlt"),0,""))))</f>
        <v>0</v>
      </c>
      <c r="K41" s="258" t="s">
        <v>155</v>
      </c>
      <c r="L41" s="258">
        <f>IF(OR($N41&lt;&gt;"x",AND(D41="",H41="")),"-",1)</f>
        <v>1</v>
      </c>
      <c r="M41" s="386" t="str">
        <f>IF(D41="","│----------│","│"&amp;D41&amp;"│                         │")&amp;IF(H41="","----------│",H41&amp;"│")</f>
        <v>│ 11050/ 56015│                         │----------│</v>
      </c>
      <c r="N41" s="259" t="str">
        <f t="shared" si="0"/>
        <v>x</v>
      </c>
    </row>
    <row r="42" spans="1:14" x14ac:dyDescent="0.25">
      <c r="A42" s="238"/>
      <c r="B42" s="268"/>
      <c r="C42" s="262" t="s">
        <v>154</v>
      </c>
      <c r="D42" s="269"/>
      <c r="E42" s="264"/>
      <c r="F42" s="264"/>
      <c r="G42" s="238"/>
      <c r="H42" s="238"/>
      <c r="I42" s="261"/>
      <c r="J42" s="261"/>
      <c r="K42" s="258"/>
      <c r="L42" s="258"/>
      <c r="M42" s="386"/>
      <c r="N42" s="259" t="str">
        <f t="shared" si="0"/>
        <v>x</v>
      </c>
    </row>
    <row r="43" spans="1:14" ht="22.5" x14ac:dyDescent="0.25">
      <c r="A43" s="247"/>
      <c r="B43" s="248"/>
      <c r="C43" s="249"/>
      <c r="D43" s="250" t="s">
        <v>147</v>
      </c>
      <c r="E43" s="250"/>
      <c r="F43" s="251" t="s">
        <v>148</v>
      </c>
      <c r="G43" s="249"/>
      <c r="H43" s="251" t="s">
        <v>149</v>
      </c>
      <c r="I43" s="252" t="str">
        <f>"Fehler"</f>
        <v>Fehler</v>
      </c>
      <c r="J43" s="253" t="s">
        <v>150</v>
      </c>
      <c r="K43" s="253"/>
      <c r="L43" s="253"/>
      <c r="M43" s="386"/>
      <c r="N43" s="244" t="str">
        <f t="shared" si="0"/>
        <v>x</v>
      </c>
    </row>
    <row r="44" spans="1:14" x14ac:dyDescent="0.25">
      <c r="A44" s="254" t="s">
        <v>158</v>
      </c>
      <c r="B44" s="254" t="s">
        <v>159</v>
      </c>
      <c r="C44" s="238" t="s">
        <v>154</v>
      </c>
      <c r="D44" s="255"/>
      <c r="E44" s="238"/>
      <c r="F44" s="238"/>
      <c r="G44" s="238"/>
      <c r="H44" s="241"/>
      <c r="I44" s="261"/>
      <c r="J44" s="267"/>
      <c r="K44" s="258"/>
      <c r="L44" s="258"/>
      <c r="M44" s="386"/>
      <c r="N44" s="259" t="str">
        <f t="shared" si="0"/>
        <v>x</v>
      </c>
    </row>
    <row r="45" spans="1:14" ht="12.75" customHeight="1" x14ac:dyDescent="0.25">
      <c r="A45" s="238"/>
      <c r="B45" s="260" t="s">
        <v>160</v>
      </c>
      <c r="C45" s="262" t="s">
        <v>154</v>
      </c>
      <c r="D45" s="255"/>
      <c r="E45" s="238"/>
      <c r="F45" s="238"/>
      <c r="G45" s="238"/>
      <c r="H45" s="241"/>
      <c r="I45" s="261"/>
      <c r="J45" s="267"/>
      <c r="K45" s="258"/>
      <c r="L45" s="258"/>
      <c r="M45" s="386"/>
      <c r="N45" s="259" t="str">
        <f t="shared" si="0"/>
        <v>x</v>
      </c>
    </row>
    <row r="46" spans="1:14" ht="12.75" customHeight="1" x14ac:dyDescent="0.25">
      <c r="A46" s="238"/>
      <c r="B46" s="240" t="str">
        <f>"Buchung BK "&amp;'B-BK'!C41</f>
        <v>Buchung BK 1</v>
      </c>
      <c r="C46" s="270" t="str">
        <f>'H-BK'!K41</f>
        <v>AB Ma</v>
      </c>
      <c r="D46" s="263" t="str">
        <f>IF('H-BK'!D41="","",'H-BK'!D41)</f>
        <v xml:space="preserve"> 04000: AB Maschinen, 91 917,-, xxxx</v>
      </c>
      <c r="E46" s="264" t="s">
        <v>154</v>
      </c>
      <c r="F46" s="264"/>
      <c r="G46" s="238"/>
      <c r="H46" s="265" t="str">
        <f t="shared" ref="H46:H77" si="8">IF(OR(D46="",TYPE(VLOOKUP(MID(D46,1,FIND(": ",D46,1)-1)&amp;C46,B_BK,2,0))=16),"",VLOOKUP(MID(D46,1,FIND(": ",D46,1)-1)&amp;C46,B_BK,2,0))</f>
        <v/>
      </c>
      <c r="I46" s="261" t="str">
        <f t="shared" ref="I46:I108" si="9">IF(AND(D46="",H46=""),"",IF(H46=D46,"Richtig!",IF(H46="","Fehlt","Falsch")))</f>
        <v>Fehlt</v>
      </c>
      <c r="J46" s="266">
        <f t="shared" ref="J46:J77" si="10">IF(OR($N46&lt;&gt;"x",AND(D46="",H46="")),"-",IF(I46="Richtig!",1,IF(I46="Formel: OK",0.5,IF(OR(I46="Falsch",I46="Fehlt"),0,""))))</f>
        <v>0</v>
      </c>
      <c r="K46" s="258" t="s">
        <v>155</v>
      </c>
      <c r="L46" s="258">
        <f t="shared" ref="L46:L77" si="11">IF(OR($N46&lt;&gt;"x",AND(D46="",H46="")),"-",1)</f>
        <v>1</v>
      </c>
      <c r="M46" s="386" t="str">
        <f t="shared" ref="M46:M77" si="12">IF(D46="","│----------│","│"&amp;D46&amp;"│                         │")&amp;IF(H46="","----------│",H46&amp;"│")</f>
        <v>│ 04000: AB Maschinen, 91 917,-, xxxx│                         │----------│</v>
      </c>
      <c r="N46" s="259" t="str">
        <f t="shared" si="0"/>
        <v>x</v>
      </c>
    </row>
    <row r="47" spans="1:14" ht="12.75" customHeight="1" x14ac:dyDescent="0.25">
      <c r="A47" s="238"/>
      <c r="B47" s="240" t="str">
        <f>"Buchung BK "&amp;'B-BK'!C42</f>
        <v>Buchung BK 2</v>
      </c>
      <c r="C47" s="270" t="str">
        <f>'H-BK'!K42</f>
        <v xml:space="preserve">Kauf </v>
      </c>
      <c r="D47" s="263" t="str">
        <f>IF('H-BK'!D42="","",'H-BK'!D42)</f>
        <v xml:space="preserve"> 04000: Kauf Kreiselzetter, 13 032,-, xxxx</v>
      </c>
      <c r="E47" s="264" t="s">
        <v>154</v>
      </c>
      <c r="F47" s="264"/>
      <c r="G47" s="238"/>
      <c r="H47" s="265" t="str">
        <f t="shared" si="8"/>
        <v/>
      </c>
      <c r="I47" s="261" t="str">
        <f t="shared" si="9"/>
        <v>Fehlt</v>
      </c>
      <c r="J47" s="266">
        <f t="shared" si="10"/>
        <v>0</v>
      </c>
      <c r="K47" s="258" t="s">
        <v>155</v>
      </c>
      <c r="L47" s="258">
        <f t="shared" si="11"/>
        <v>1</v>
      </c>
      <c r="M47" s="386" t="str">
        <f t="shared" si="12"/>
        <v>│ 04000: Kauf Kreiselzetter, 13 032,-, xxxx│                         │----------│</v>
      </c>
      <c r="N47" s="259" t="str">
        <f t="shared" si="0"/>
        <v>x</v>
      </c>
    </row>
    <row r="48" spans="1:14" ht="12.75" customHeight="1" x14ac:dyDescent="0.25">
      <c r="A48" s="238"/>
      <c r="B48" s="240" t="str">
        <f>"Buchung BK "&amp;'B-BK'!C43</f>
        <v>Buchung BK 3</v>
      </c>
      <c r="C48" s="270" t="str">
        <f>'H-BK'!K43</f>
        <v>Afa M</v>
      </c>
      <c r="D48" s="263" t="str">
        <f>IF('H-BK'!D43="","",'H-BK'!D43)</f>
        <v xml:space="preserve"> 04000: Afa Maschinen, xxxx, 3 424,-</v>
      </c>
      <c r="E48" s="264" t="s">
        <v>154</v>
      </c>
      <c r="F48" s="264"/>
      <c r="G48" s="238"/>
      <c r="H48" s="265" t="str">
        <f t="shared" si="8"/>
        <v/>
      </c>
      <c r="I48" s="261" t="str">
        <f t="shared" si="9"/>
        <v>Fehlt</v>
      </c>
      <c r="J48" s="266">
        <f t="shared" si="10"/>
        <v>0</v>
      </c>
      <c r="K48" s="258" t="s">
        <v>155</v>
      </c>
      <c r="L48" s="258">
        <f t="shared" si="11"/>
        <v>1</v>
      </c>
      <c r="M48" s="386" t="str">
        <f t="shared" si="12"/>
        <v>│ 04000: Afa Maschinen, xxxx, 3 424,-│                         │----------│</v>
      </c>
      <c r="N48" s="259" t="str">
        <f t="shared" si="0"/>
        <v>x</v>
      </c>
    </row>
    <row r="49" spans="1:14" ht="12.75" customHeight="1" x14ac:dyDescent="0.25">
      <c r="A49" s="238"/>
      <c r="B49" s="240" t="str">
        <f>"Buchung BK "&amp;'B-BK'!C44</f>
        <v>Buchung BK 4</v>
      </c>
      <c r="C49" s="270" t="str">
        <f>'H-BK'!K44</f>
        <v>SALDO</v>
      </c>
      <c r="D49" s="263" t="str">
        <f>IF('H-BK'!D44="","",'H-BK'!D44)</f>
        <v xml:space="preserve"> 04000: SALDO, xxxx, 101 525,-</v>
      </c>
      <c r="E49" s="264" t="s">
        <v>154</v>
      </c>
      <c r="F49" s="264"/>
      <c r="G49" s="238"/>
      <c r="H49" s="265" t="str">
        <f t="shared" si="8"/>
        <v/>
      </c>
      <c r="I49" s="261" t="str">
        <f t="shared" si="9"/>
        <v>Fehlt</v>
      </c>
      <c r="J49" s="266">
        <f t="shared" si="10"/>
        <v>0</v>
      </c>
      <c r="K49" s="258" t="s">
        <v>155</v>
      </c>
      <c r="L49" s="258">
        <f t="shared" si="11"/>
        <v>1</v>
      </c>
      <c r="M49" s="386" t="str">
        <f t="shared" si="12"/>
        <v>│ 04000: SALDO, xxxx, 101 525,-│                         │----------│</v>
      </c>
      <c r="N49" s="259" t="str">
        <f t="shared" si="0"/>
        <v>x</v>
      </c>
    </row>
    <row r="50" spans="1:14" ht="12.75" customHeight="1" x14ac:dyDescent="0.25">
      <c r="A50" s="238"/>
      <c r="B50" s="240" t="str">
        <f>"Buchung BK "&amp;'B-BK'!C45</f>
        <v>Buchung BK 5</v>
      </c>
      <c r="C50" s="270" t="str">
        <f>'H-BK'!K45</f>
        <v>Summe</v>
      </c>
      <c r="D50" s="263" t="str">
        <f>IF('H-BK'!D45="","",'H-BK'!D45)</f>
        <v xml:space="preserve"> 04000: Summe, 104 949,-, 104 949,-</v>
      </c>
      <c r="E50" s="264" t="s">
        <v>154</v>
      </c>
      <c r="F50" s="264"/>
      <c r="G50" s="238"/>
      <c r="H50" s="265" t="str">
        <f t="shared" si="8"/>
        <v/>
      </c>
      <c r="I50" s="261" t="str">
        <f t="shared" si="9"/>
        <v>Fehlt</v>
      </c>
      <c r="J50" s="266">
        <f t="shared" si="10"/>
        <v>0</v>
      </c>
      <c r="K50" s="258" t="s">
        <v>155</v>
      </c>
      <c r="L50" s="258">
        <f t="shared" si="11"/>
        <v>1</v>
      </c>
      <c r="M50" s="386" t="str">
        <f t="shared" si="12"/>
        <v>│ 04000: Summe, 104 949,-, 104 949,-│                         │----------│</v>
      </c>
      <c r="N50" s="259" t="str">
        <f t="shared" si="0"/>
        <v>x</v>
      </c>
    </row>
    <row r="51" spans="1:14" ht="12.75" customHeight="1" x14ac:dyDescent="0.25">
      <c r="A51" s="238"/>
      <c r="B51" s="240" t="str">
        <f>"Buchung BK "&amp;'B-BK'!C46</f>
        <v>Buchung BK 6</v>
      </c>
      <c r="C51" s="270" t="str">
        <f>'H-BK'!K46</f>
        <v>AB Ge</v>
      </c>
      <c r="D51" s="263" t="str">
        <f>IF('H-BK'!D46="","",'H-BK'!D46)</f>
        <v xml:space="preserve"> 03000: AB Gebäude, 55 448,-, xxxx</v>
      </c>
      <c r="E51" s="264" t="s">
        <v>154</v>
      </c>
      <c r="F51" s="264"/>
      <c r="G51" s="238"/>
      <c r="H51" s="265" t="str">
        <f t="shared" si="8"/>
        <v/>
      </c>
      <c r="I51" s="261" t="str">
        <f t="shared" si="9"/>
        <v>Fehlt</v>
      </c>
      <c r="J51" s="266">
        <f t="shared" si="10"/>
        <v>0</v>
      </c>
      <c r="K51" s="258" t="s">
        <v>155</v>
      </c>
      <c r="L51" s="258">
        <f t="shared" si="11"/>
        <v>1</v>
      </c>
      <c r="M51" s="386" t="str">
        <f t="shared" si="12"/>
        <v>│ 03000: AB Gebäude, 55 448,-, xxxx│                         │----------│</v>
      </c>
      <c r="N51" s="259" t="str">
        <f t="shared" si="0"/>
        <v>x</v>
      </c>
    </row>
    <row r="52" spans="1:14" ht="12.75" customHeight="1" x14ac:dyDescent="0.25">
      <c r="A52" s="238"/>
      <c r="B52" s="240" t="str">
        <f>"Buchung BK "&amp;'B-BK'!C47</f>
        <v>Buchung BK 7</v>
      </c>
      <c r="C52" s="270" t="str">
        <f>'H-BK'!K47</f>
        <v>Afa G</v>
      </c>
      <c r="D52" s="263" t="str">
        <f>IF('H-BK'!D47="","",'H-BK'!D47)</f>
        <v xml:space="preserve"> 03000: Afa Gebäude, xxxx, 4 269,-</v>
      </c>
      <c r="E52" s="264" t="s">
        <v>154</v>
      </c>
      <c r="F52" s="264"/>
      <c r="G52" s="238"/>
      <c r="H52" s="265" t="str">
        <f t="shared" si="8"/>
        <v/>
      </c>
      <c r="I52" s="261" t="str">
        <f t="shared" si="9"/>
        <v>Fehlt</v>
      </c>
      <c r="J52" s="266">
        <f t="shared" si="10"/>
        <v>0</v>
      </c>
      <c r="K52" s="258" t="s">
        <v>155</v>
      </c>
      <c r="L52" s="258">
        <f t="shared" si="11"/>
        <v>1</v>
      </c>
      <c r="M52" s="386" t="str">
        <f t="shared" si="12"/>
        <v>│ 03000: Afa Gebäude, xxxx, 4 269,-│                         │----------│</v>
      </c>
      <c r="N52" s="259" t="str">
        <f t="shared" si="0"/>
        <v>x</v>
      </c>
    </row>
    <row r="53" spans="1:14" ht="12.75" hidden="1" customHeight="1" x14ac:dyDescent="0.25">
      <c r="A53" s="238"/>
      <c r="B53" s="240" t="str">
        <f>"Buchung BK "&amp;'B-BK'!C48</f>
        <v>Buchung BK 8</v>
      </c>
      <c r="C53" s="270" t="str">
        <f>'H-BK'!K48</f>
        <v/>
      </c>
      <c r="D53" s="263" t="str">
        <f>IF('H-BK'!D48="","",'H-BK'!D48)</f>
        <v/>
      </c>
      <c r="E53" s="264" t="s">
        <v>154</v>
      </c>
      <c r="F53" s="264"/>
      <c r="G53" s="238"/>
      <c r="H53" s="265" t="str">
        <f t="shared" si="8"/>
        <v/>
      </c>
      <c r="I53" s="261" t="str">
        <f t="shared" si="9"/>
        <v/>
      </c>
      <c r="J53" s="266" t="str">
        <f t="shared" si="10"/>
        <v>-</v>
      </c>
      <c r="K53" s="258" t="s">
        <v>155</v>
      </c>
      <c r="L53" s="258" t="str">
        <f t="shared" si="11"/>
        <v>-</v>
      </c>
      <c r="M53" s="386" t="str">
        <f t="shared" si="12"/>
        <v>│----------│----------│</v>
      </c>
      <c r="N53" s="259" t="str">
        <f t="shared" si="0"/>
        <v>x</v>
      </c>
    </row>
    <row r="54" spans="1:14" ht="12.75" customHeight="1" x14ac:dyDescent="0.25">
      <c r="A54" s="238"/>
      <c r="B54" s="240" t="str">
        <f>"Buchung BK "&amp;'B-BK'!C49</f>
        <v>Buchung BK 9</v>
      </c>
      <c r="C54" s="270" t="str">
        <f>'H-BK'!K49</f>
        <v>SALDO</v>
      </c>
      <c r="D54" s="263" t="str">
        <f>IF('H-BK'!D49="","",'H-BK'!D49)</f>
        <v xml:space="preserve"> 03000: SALDO, xxxx, 51 180,-</v>
      </c>
      <c r="E54" s="264" t="s">
        <v>154</v>
      </c>
      <c r="F54" s="264"/>
      <c r="G54" s="238"/>
      <c r="H54" s="265" t="str">
        <f t="shared" si="8"/>
        <v/>
      </c>
      <c r="I54" s="261" t="str">
        <f t="shared" si="9"/>
        <v>Fehlt</v>
      </c>
      <c r="J54" s="266">
        <f t="shared" si="10"/>
        <v>0</v>
      </c>
      <c r="K54" s="258" t="s">
        <v>155</v>
      </c>
      <c r="L54" s="258">
        <f t="shared" si="11"/>
        <v>1</v>
      </c>
      <c r="M54" s="386" t="str">
        <f t="shared" si="12"/>
        <v>│ 03000: SALDO, xxxx, 51 180,-│                         │----------│</v>
      </c>
      <c r="N54" s="259" t="str">
        <f t="shared" si="0"/>
        <v>x</v>
      </c>
    </row>
    <row r="55" spans="1:14" ht="12.75" customHeight="1" x14ac:dyDescent="0.25">
      <c r="A55" s="238"/>
      <c r="B55" s="240" t="str">
        <f>"Buchung BK "&amp;'B-BK'!C50</f>
        <v>Buchung BK 10</v>
      </c>
      <c r="C55" s="270" t="str">
        <f>'H-BK'!K50</f>
        <v>Summe</v>
      </c>
      <c r="D55" s="263" t="str">
        <f>IF('H-BK'!D50="","",'H-BK'!D50)</f>
        <v xml:space="preserve"> 03000: Summe, 55 448,-, 55 448,-</v>
      </c>
      <c r="E55" s="264" t="s">
        <v>154</v>
      </c>
      <c r="F55" s="264"/>
      <c r="G55" s="238"/>
      <c r="H55" s="265" t="str">
        <f t="shared" si="8"/>
        <v/>
      </c>
      <c r="I55" s="261" t="str">
        <f t="shared" si="9"/>
        <v>Fehlt</v>
      </c>
      <c r="J55" s="266">
        <f t="shared" si="10"/>
        <v>0</v>
      </c>
      <c r="K55" s="258" t="s">
        <v>155</v>
      </c>
      <c r="L55" s="258">
        <f t="shared" si="11"/>
        <v>1</v>
      </c>
      <c r="M55" s="386" t="str">
        <f t="shared" si="12"/>
        <v>│ 03000: Summe, 55 448,-, 55 448,-│                         │----------│</v>
      </c>
      <c r="N55" s="259" t="str">
        <f t="shared" si="0"/>
        <v>x</v>
      </c>
    </row>
    <row r="56" spans="1:14" ht="12.75" customHeight="1" x14ac:dyDescent="0.25">
      <c r="A56" s="238"/>
      <c r="B56" s="240" t="str">
        <f>"Buchung BK "&amp;'B-BK'!C51</f>
        <v>Buchung BK 11</v>
      </c>
      <c r="C56" s="270" t="str">
        <f>'H-BK'!K51</f>
        <v>AB Vo</v>
      </c>
      <c r="D56" s="263" t="str">
        <f>IF('H-BK'!D51="","",'H-BK'!D51)</f>
        <v xml:space="preserve"> 11050: EB, 01.01., AB Vorräte zugekaufte, 3 349,-, xxxx</v>
      </c>
      <c r="E56" s="264" t="s">
        <v>154</v>
      </c>
      <c r="F56" s="264"/>
      <c r="G56" s="238"/>
      <c r="H56" s="265" t="str">
        <f t="shared" si="8"/>
        <v/>
      </c>
      <c r="I56" s="261" t="str">
        <f t="shared" si="9"/>
        <v>Fehlt</v>
      </c>
      <c r="J56" s="266">
        <f t="shared" si="10"/>
        <v>0</v>
      </c>
      <c r="K56" s="258" t="s">
        <v>155</v>
      </c>
      <c r="L56" s="258">
        <f t="shared" si="11"/>
        <v>1</v>
      </c>
      <c r="M56" s="386" t="str">
        <f t="shared" si="12"/>
        <v>│ 11050: EB, 01.01., AB Vorräte zugekaufte, 3 349,-, xxxx│                         │----------│</v>
      </c>
      <c r="N56" s="259" t="str">
        <f t="shared" si="0"/>
        <v>x</v>
      </c>
    </row>
    <row r="57" spans="1:14" ht="12.75" customHeight="1" x14ac:dyDescent="0.25">
      <c r="A57" s="238"/>
      <c r="B57" s="240" t="str">
        <f>"Buchung BK "&amp;'B-BK'!C52</f>
        <v>Buchung BK 12</v>
      </c>
      <c r="C57" s="270" t="str">
        <f>'H-BK'!K52</f>
        <v>Mehrw</v>
      </c>
      <c r="D57" s="263" t="str">
        <f>IF('H-BK'!D52="","",'H-BK'!D52)</f>
        <v xml:space="preserve"> 11050: AB, 31.12., Mehrwert zk. Vorr. (Treibstoff), 260,-, xxxx</v>
      </c>
      <c r="E57" s="264" t="s">
        <v>154</v>
      </c>
      <c r="F57" s="264"/>
      <c r="G57" s="238"/>
      <c r="H57" s="265" t="str">
        <f t="shared" si="8"/>
        <v/>
      </c>
      <c r="I57" s="261" t="str">
        <f t="shared" si="9"/>
        <v>Fehlt</v>
      </c>
      <c r="J57" s="266">
        <f t="shared" si="10"/>
        <v>0</v>
      </c>
      <c r="K57" s="258" t="s">
        <v>155</v>
      </c>
      <c r="L57" s="258">
        <f t="shared" si="11"/>
        <v>1</v>
      </c>
      <c r="M57" s="386" t="str">
        <f t="shared" si="12"/>
        <v>│ 11050: AB, 31.12., Mehrwert zk. Vorr. (Treibstoff), 260,-, xxxx│                         │----------│</v>
      </c>
      <c r="N57" s="259" t="str">
        <f t="shared" si="0"/>
        <v>x</v>
      </c>
    </row>
    <row r="58" spans="1:14" ht="12.75" hidden="1" customHeight="1" x14ac:dyDescent="0.25">
      <c r="A58" s="238"/>
      <c r="B58" s="240" t="str">
        <f>"Buchung BK "&amp;'B-BK'!C53</f>
        <v>Buchung BK 13</v>
      </c>
      <c r="C58" s="270" t="str">
        <f>'H-BK'!K53</f>
        <v/>
      </c>
      <c r="D58" s="263" t="str">
        <f>IF('H-BK'!D53="","",'H-BK'!D53)</f>
        <v/>
      </c>
      <c r="E58" s="264" t="s">
        <v>154</v>
      </c>
      <c r="F58" s="264"/>
      <c r="G58" s="238"/>
      <c r="H58" s="265" t="str">
        <f t="shared" si="8"/>
        <v/>
      </c>
      <c r="I58" s="261" t="str">
        <f t="shared" si="9"/>
        <v/>
      </c>
      <c r="J58" s="266" t="str">
        <f t="shared" si="10"/>
        <v>-</v>
      </c>
      <c r="K58" s="258" t="s">
        <v>155</v>
      </c>
      <c r="L58" s="258" t="str">
        <f t="shared" si="11"/>
        <v>-</v>
      </c>
      <c r="M58" s="386" t="str">
        <f t="shared" si="12"/>
        <v>│----------│----------│</v>
      </c>
      <c r="N58" s="259" t="str">
        <f t="shared" si="0"/>
        <v>x</v>
      </c>
    </row>
    <row r="59" spans="1:14" ht="12.75" customHeight="1" x14ac:dyDescent="0.25">
      <c r="A59" s="238"/>
      <c r="B59" s="240" t="str">
        <f>"Buchung BK "&amp;'B-BK'!C54</f>
        <v>Buchung BK 14</v>
      </c>
      <c r="C59" s="270" t="str">
        <f>'H-BK'!K54</f>
        <v>SALDO</v>
      </c>
      <c r="D59" s="263" t="str">
        <f>IF('H-BK'!D54="","",'H-BK'!D54)</f>
        <v xml:space="preserve"> 11050: AB, 31.12., SALDO, xxxx, 3 609,-</v>
      </c>
      <c r="E59" s="264" t="s">
        <v>154</v>
      </c>
      <c r="F59" s="264"/>
      <c r="G59" s="238"/>
      <c r="H59" s="265" t="str">
        <f t="shared" si="8"/>
        <v/>
      </c>
      <c r="I59" s="261" t="str">
        <f t="shared" si="9"/>
        <v>Fehlt</v>
      </c>
      <c r="J59" s="266">
        <f t="shared" si="10"/>
        <v>0</v>
      </c>
      <c r="K59" s="258" t="s">
        <v>155</v>
      </c>
      <c r="L59" s="258">
        <f t="shared" si="11"/>
        <v>1</v>
      </c>
      <c r="M59" s="386" t="str">
        <f t="shared" si="12"/>
        <v>│ 11050: AB, 31.12., SALDO, xxxx, 3 609,-│                         │----------│</v>
      </c>
      <c r="N59" s="259" t="str">
        <f t="shared" si="0"/>
        <v>x</v>
      </c>
    </row>
    <row r="60" spans="1:14" ht="12.75" customHeight="1" x14ac:dyDescent="0.25">
      <c r="A60" s="238"/>
      <c r="B60" s="240" t="str">
        <f>"Buchung BK "&amp;'B-BK'!C55</f>
        <v>Buchung BK 15</v>
      </c>
      <c r="C60" s="270" t="str">
        <f>'H-BK'!K55</f>
        <v>Summe</v>
      </c>
      <c r="D60" s="263" t="str">
        <f>IF('H-BK'!D55="","",'H-BK'!D55)</f>
        <v xml:space="preserve"> 11050: Summe, 3 609,-, 3 609,-</v>
      </c>
      <c r="E60" s="264" t="s">
        <v>154</v>
      </c>
      <c r="F60" s="264"/>
      <c r="G60" s="238"/>
      <c r="H60" s="265" t="str">
        <f t="shared" si="8"/>
        <v/>
      </c>
      <c r="I60" s="261" t="str">
        <f t="shared" si="9"/>
        <v>Fehlt</v>
      </c>
      <c r="J60" s="266">
        <f t="shared" si="10"/>
        <v>0</v>
      </c>
      <c r="K60" s="258" t="s">
        <v>155</v>
      </c>
      <c r="L60" s="258">
        <f t="shared" si="11"/>
        <v>1</v>
      </c>
      <c r="M60" s="386" t="str">
        <f t="shared" si="12"/>
        <v>│ 11050: Summe, 3 609,-, 3 609,-│                         │----------│</v>
      </c>
      <c r="N60" s="259" t="str">
        <f t="shared" si="0"/>
        <v>x</v>
      </c>
    </row>
    <row r="61" spans="1:14" ht="12.75" customHeight="1" x14ac:dyDescent="0.25">
      <c r="A61" s="238"/>
      <c r="B61" s="240" t="str">
        <f>"Buchung BK "&amp;'B-BK'!C56</f>
        <v>Buchung BK 16</v>
      </c>
      <c r="C61" s="270" t="str">
        <f>'H-BK'!K56</f>
        <v>AB Ka</v>
      </c>
      <c r="D61" s="263" t="str">
        <f>IF('H-BK'!D56="","",'H-BK'!D56)</f>
        <v xml:space="preserve"> 27000: EB, 01.01., AB Kassa (Bargeld), 558,-, xxxx</v>
      </c>
      <c r="E61" s="264" t="s">
        <v>154</v>
      </c>
      <c r="F61" s="264"/>
      <c r="G61" s="238"/>
      <c r="H61" s="265" t="str">
        <f t="shared" si="8"/>
        <v/>
      </c>
      <c r="I61" s="261" t="str">
        <f t="shared" si="9"/>
        <v>Fehlt</v>
      </c>
      <c r="J61" s="266">
        <f t="shared" si="10"/>
        <v>0</v>
      </c>
      <c r="K61" s="258" t="s">
        <v>155</v>
      </c>
      <c r="L61" s="258">
        <f t="shared" si="11"/>
        <v>1</v>
      </c>
      <c r="M61" s="386" t="str">
        <f t="shared" si="12"/>
        <v>│ 27000: EB, 01.01., AB Kassa (Bargeld), 558,-, xxxx│                         │----------│</v>
      </c>
      <c r="N61" s="259" t="str">
        <f t="shared" si="0"/>
        <v>x</v>
      </c>
    </row>
    <row r="62" spans="1:14" ht="12.75" customHeight="1" x14ac:dyDescent="0.25">
      <c r="A62" s="238"/>
      <c r="B62" s="240" t="str">
        <f>"Buchung BK "&amp;'B-BK'!C57</f>
        <v>Buchung BK 17</v>
      </c>
      <c r="C62" s="270" t="str">
        <f>'H-BK'!K57</f>
        <v>Metzg</v>
      </c>
      <c r="D62" s="263" t="str">
        <f>IF('H-BK'!D57="","",'H-BK'!D57)</f>
        <v xml:space="preserve"> 27000: K1, 07.01., Metzger Müller zahlt Rechnung aus Vorjahr, 968,-, xxxx</v>
      </c>
      <c r="E62" s="264" t="s">
        <v>154</v>
      </c>
      <c r="F62" s="264"/>
      <c r="G62" s="238"/>
      <c r="H62" s="265" t="str">
        <f t="shared" si="8"/>
        <v/>
      </c>
      <c r="I62" s="261" t="str">
        <f t="shared" si="9"/>
        <v>Fehlt</v>
      </c>
      <c r="J62" s="266">
        <f t="shared" si="10"/>
        <v>0</v>
      </c>
      <c r="K62" s="258" t="s">
        <v>155</v>
      </c>
      <c r="L62" s="258">
        <f t="shared" si="11"/>
        <v>1</v>
      </c>
      <c r="M62" s="386" t="str">
        <f t="shared" si="12"/>
        <v>│ 27000: K1, 07.01., Metzger Müller zahlt Rechnung aus Vorjahr, 968,-, xxxx│                         │----------│</v>
      </c>
      <c r="N62" s="259" t="str">
        <f t="shared" si="0"/>
        <v>x</v>
      </c>
    </row>
    <row r="63" spans="1:14" ht="12.75" customHeight="1" x14ac:dyDescent="0.25">
      <c r="A63" s="238"/>
      <c r="B63" s="240" t="str">
        <f>"Buchung BK "&amp;'B-BK'!C58</f>
        <v>Buchung BK 18</v>
      </c>
      <c r="C63" s="270" t="str">
        <f>'H-BK'!K58</f>
        <v>Milch</v>
      </c>
      <c r="D63" s="263" t="str">
        <f>IF('H-BK'!D58="","",'H-BK'!D58)</f>
        <v xml:space="preserve"> 27000: K2, 14.07., Milchgeld (Schafmilch, Sammelbeleg), 3 535,-, xxxx</v>
      </c>
      <c r="E63" s="264" t="s">
        <v>154</v>
      </c>
      <c r="F63" s="264"/>
      <c r="G63" s="238"/>
      <c r="H63" s="265" t="str">
        <f t="shared" si="8"/>
        <v/>
      </c>
      <c r="I63" s="261" t="str">
        <f t="shared" si="9"/>
        <v>Fehlt</v>
      </c>
      <c r="J63" s="266">
        <f t="shared" si="10"/>
        <v>0</v>
      </c>
      <c r="K63" s="258" t="s">
        <v>155</v>
      </c>
      <c r="L63" s="258">
        <f t="shared" si="11"/>
        <v>1</v>
      </c>
      <c r="M63" s="386" t="str">
        <f t="shared" si="12"/>
        <v>│ 27000: K2, 14.07., Milchgeld (Schafmilch, Sammelbeleg), 3 535,-, xxxx│                         │----------│</v>
      </c>
      <c r="N63" s="259" t="str">
        <f t="shared" si="0"/>
        <v>x</v>
      </c>
    </row>
    <row r="64" spans="1:14" ht="12.75" customHeight="1" x14ac:dyDescent="0.25">
      <c r="A64" s="238"/>
      <c r="B64" s="240" t="str">
        <f>"Buchung BK "&amp;'B-BK'!C59</f>
        <v>Buchung BK 19</v>
      </c>
      <c r="C64" s="270" t="str">
        <f>'H-BK'!K59</f>
        <v>SALDO</v>
      </c>
      <c r="D64" s="263" t="str">
        <f>IF('H-BK'!D59="","",'H-BK'!D59)</f>
        <v xml:space="preserve"> 27000: AB, 31.12., SALDO, xxxx, 5 061,-</v>
      </c>
      <c r="E64" s="264" t="s">
        <v>154</v>
      </c>
      <c r="F64" s="264"/>
      <c r="G64" s="238"/>
      <c r="H64" s="265" t="str">
        <f t="shared" si="8"/>
        <v/>
      </c>
      <c r="I64" s="261" t="str">
        <f t="shared" si="9"/>
        <v>Fehlt</v>
      </c>
      <c r="J64" s="266">
        <f t="shared" si="10"/>
        <v>0</v>
      </c>
      <c r="K64" s="258" t="s">
        <v>155</v>
      </c>
      <c r="L64" s="258">
        <f t="shared" si="11"/>
        <v>1</v>
      </c>
      <c r="M64" s="386" t="str">
        <f t="shared" si="12"/>
        <v>│ 27000: AB, 31.12., SALDO, xxxx, 5 061,-│                         │----------│</v>
      </c>
      <c r="N64" s="259" t="str">
        <f t="shared" si="0"/>
        <v>x</v>
      </c>
    </row>
    <row r="65" spans="1:14" ht="12.75" customHeight="1" x14ac:dyDescent="0.25">
      <c r="A65" s="238"/>
      <c r="B65" s="240" t="str">
        <f>"Buchung BK "&amp;'B-BK'!C60</f>
        <v>Buchung BK 20</v>
      </c>
      <c r="C65" s="270" t="str">
        <f>'H-BK'!K60</f>
        <v>Summe</v>
      </c>
      <c r="D65" s="263" t="str">
        <f>IF('H-BK'!D60="","",'H-BK'!D60)</f>
        <v xml:space="preserve"> 27000: Summe, 5 061,-, 5 061,-</v>
      </c>
      <c r="E65" s="264" t="s">
        <v>154</v>
      </c>
      <c r="F65" s="264"/>
      <c r="G65" s="238"/>
      <c r="H65" s="265" t="str">
        <f t="shared" si="8"/>
        <v/>
      </c>
      <c r="I65" s="261" t="str">
        <f t="shared" si="9"/>
        <v>Fehlt</v>
      </c>
      <c r="J65" s="266">
        <f t="shared" si="10"/>
        <v>0</v>
      </c>
      <c r="K65" s="258" t="s">
        <v>155</v>
      </c>
      <c r="L65" s="258">
        <f t="shared" si="11"/>
        <v>1</v>
      </c>
      <c r="M65" s="386" t="str">
        <f t="shared" si="12"/>
        <v>│ 27000: Summe, 5 061,-, 5 061,-│                         │----------│</v>
      </c>
      <c r="N65" s="259" t="str">
        <f t="shared" si="0"/>
        <v>x</v>
      </c>
    </row>
    <row r="66" spans="1:14" ht="12.75" customHeight="1" x14ac:dyDescent="0.25">
      <c r="A66" s="238"/>
      <c r="B66" s="240" t="str">
        <f>"Buchung BK "&amp;'B-BK'!C61</f>
        <v>Buchung BK 21</v>
      </c>
      <c r="C66" s="270" t="str">
        <f>'H-BK'!K61</f>
        <v>AB Gi</v>
      </c>
      <c r="D66" s="263" t="str">
        <f>IF('H-BK'!D61="","",'H-BK'!D61)</f>
        <v xml:space="preserve"> 28000: EB, 01.01., AB Giro (Bankguthaben), 30 709,-, xxxx</v>
      </c>
      <c r="E66" s="264" t="s">
        <v>154</v>
      </c>
      <c r="F66" s="264"/>
      <c r="G66" s="238"/>
      <c r="H66" s="265" t="str">
        <f t="shared" si="8"/>
        <v/>
      </c>
      <c r="I66" s="261" t="str">
        <f t="shared" si="9"/>
        <v>Fehlt</v>
      </c>
      <c r="J66" s="266">
        <f t="shared" si="10"/>
        <v>0</v>
      </c>
      <c r="K66" s="258" t="s">
        <v>155</v>
      </c>
      <c r="L66" s="258">
        <f t="shared" si="11"/>
        <v>1</v>
      </c>
      <c r="M66" s="386" t="str">
        <f t="shared" si="12"/>
        <v>│ 28000: EB, 01.01., AB Giro (Bankguthaben), 30 709,-, xxxx│                         │----------│</v>
      </c>
      <c r="N66" s="259" t="str">
        <f t="shared" si="0"/>
        <v>x</v>
      </c>
    </row>
    <row r="67" spans="1:14" ht="12.75" customHeight="1" x14ac:dyDescent="0.25">
      <c r="A67" s="238"/>
      <c r="B67" s="240" t="str">
        <f>"Buchung BK "&amp;'B-BK'!C62</f>
        <v>Buchung BK 22</v>
      </c>
      <c r="C67" s="270" t="str">
        <f>'H-BK'!K62</f>
        <v>Zahlu</v>
      </c>
      <c r="D67" s="263" t="str">
        <f>IF('H-BK'!D62="","",'H-BK'!D62)</f>
        <v xml:space="preserve"> 28000: B1, 10.01., Zahlung MR-Rechnung Vorjahr, xxxx, 4 992,-</v>
      </c>
      <c r="E67" s="264" t="s">
        <v>154</v>
      </c>
      <c r="F67" s="264"/>
      <c r="G67" s="238"/>
      <c r="H67" s="265" t="str">
        <f t="shared" si="8"/>
        <v/>
      </c>
      <c r="I67" s="261" t="str">
        <f t="shared" si="9"/>
        <v>Fehlt</v>
      </c>
      <c r="J67" s="266">
        <f t="shared" si="10"/>
        <v>0</v>
      </c>
      <c r="K67" s="258" t="s">
        <v>155</v>
      </c>
      <c r="L67" s="258">
        <f t="shared" si="11"/>
        <v>1</v>
      </c>
      <c r="M67" s="386" t="str">
        <f t="shared" si="12"/>
        <v>│ 28000: B1, 10.01., Zahlung MR-Rechnung Vorjahr, xxxx, 4 992,-│                         │----------│</v>
      </c>
      <c r="N67" s="259" t="str">
        <f t="shared" si="0"/>
        <v>x</v>
      </c>
    </row>
    <row r="68" spans="1:14" ht="12.75" customHeight="1" x14ac:dyDescent="0.25">
      <c r="A68" s="238"/>
      <c r="B68" s="240" t="str">
        <f>"Buchung BK "&amp;'B-BK'!C63</f>
        <v>Buchung BK 23</v>
      </c>
      <c r="C68" s="270" t="str">
        <f>'H-BK'!K63</f>
        <v>Treib</v>
      </c>
      <c r="D68" s="263" t="str">
        <f>IF('H-BK'!D63="","",'H-BK'!D63)</f>
        <v xml:space="preserve"> 28000: B2, 15.02., Treibstoffkauf, xxxx, 432,-</v>
      </c>
      <c r="E68" s="264" t="s">
        <v>154</v>
      </c>
      <c r="F68" s="264"/>
      <c r="G68" s="238"/>
      <c r="H68" s="265" t="str">
        <f t="shared" si="8"/>
        <v/>
      </c>
      <c r="I68" s="261" t="str">
        <f t="shared" si="9"/>
        <v>Fehlt</v>
      </c>
      <c r="J68" s="266">
        <f t="shared" si="10"/>
        <v>0</v>
      </c>
      <c r="K68" s="258" t="s">
        <v>155</v>
      </c>
      <c r="L68" s="258">
        <f t="shared" si="11"/>
        <v>1</v>
      </c>
      <c r="M68" s="386" t="str">
        <f t="shared" si="12"/>
        <v>│ 28000: B2, 15.02., Treibstoffkauf, xxxx, 432,-│                         │----------│</v>
      </c>
      <c r="N68" s="259" t="str">
        <f t="shared" si="0"/>
        <v>x</v>
      </c>
    </row>
    <row r="69" spans="1:14" ht="12.75" customHeight="1" x14ac:dyDescent="0.25">
      <c r="A69" s="238"/>
      <c r="B69" s="240" t="str">
        <f>"Buchung BK "&amp;'B-BK'!C64</f>
        <v>Buchung BK 24</v>
      </c>
      <c r="C69" s="270" t="str">
        <f>'H-BK'!K64</f>
        <v>TSV ü</v>
      </c>
      <c r="D69" s="263" t="str">
        <f>IF('H-BK'!D64="","",'H-BK'!D64)</f>
        <v xml:space="preserve"> 28000: B3, 20.04., TSV überweist Vesteigerungsentgelt, 674,-, xxxx</v>
      </c>
      <c r="E69" s="264" t="s">
        <v>154</v>
      </c>
      <c r="F69" s="264"/>
      <c r="G69" s="238"/>
      <c r="H69" s="265" t="str">
        <f t="shared" si="8"/>
        <v/>
      </c>
      <c r="I69" s="261" t="str">
        <f t="shared" si="9"/>
        <v>Fehlt</v>
      </c>
      <c r="J69" s="266">
        <f t="shared" si="10"/>
        <v>0</v>
      </c>
      <c r="K69" s="258" t="s">
        <v>155</v>
      </c>
      <c r="L69" s="258">
        <f t="shared" si="11"/>
        <v>1</v>
      </c>
      <c r="M69" s="386" t="str">
        <f t="shared" si="12"/>
        <v>│ 28000: B3, 20.04., TSV überweist Vesteigerungsentgelt, 674,-, xxxx│                         │----------│</v>
      </c>
      <c r="N69" s="259" t="str">
        <f t="shared" si="0"/>
        <v>x</v>
      </c>
    </row>
    <row r="70" spans="1:14" ht="12.75" customHeight="1" x14ac:dyDescent="0.25">
      <c r="A70" s="238"/>
      <c r="B70" s="240" t="str">
        <f>"Buchung BK "&amp;'B-BK'!C65</f>
        <v>Buchung BK 25</v>
      </c>
      <c r="C70" s="270" t="str">
        <f>'H-BK'!K65</f>
        <v xml:space="preserve">Kauf </v>
      </c>
      <c r="D70" s="263" t="str">
        <f>IF('H-BK'!D65="","",'H-BK'!D65)</f>
        <v xml:space="preserve"> 28000: B4, 09 06.., Kauf Kreiselzetter, xxxx, 13 032,-</v>
      </c>
      <c r="E70" s="264" t="s">
        <v>154</v>
      </c>
      <c r="F70" s="264"/>
      <c r="G70" s="238"/>
      <c r="H70" s="265" t="str">
        <f t="shared" si="8"/>
        <v/>
      </c>
      <c r="I70" s="261" t="str">
        <f t="shared" si="9"/>
        <v>Fehlt</v>
      </c>
      <c r="J70" s="266">
        <f t="shared" si="10"/>
        <v>0</v>
      </c>
      <c r="K70" s="258" t="s">
        <v>155</v>
      </c>
      <c r="L70" s="258">
        <f t="shared" si="11"/>
        <v>1</v>
      </c>
      <c r="M70" s="386" t="str">
        <f t="shared" si="12"/>
        <v>│ 28000: B4, 09 06.., Kauf Kreiselzetter, xxxx, 13 032,-│                         │----------│</v>
      </c>
      <c r="N70" s="259" t="str">
        <f t="shared" si="0"/>
        <v>x</v>
      </c>
    </row>
    <row r="71" spans="1:14" ht="12.75" customHeight="1" x14ac:dyDescent="0.25">
      <c r="A71" s="238"/>
      <c r="B71" s="240" t="str">
        <f>"Buchung BK "&amp;'B-BK'!C66</f>
        <v>Buchung BK 26</v>
      </c>
      <c r="C71" s="270" t="str">
        <f>'H-BK'!K66</f>
        <v>Wohnh</v>
      </c>
      <c r="D71" s="263" t="str">
        <f>IF('H-BK'!D66="","",'H-BK'!D66)</f>
        <v xml:space="preserve"> 28000: B5, 02.08., Wohnhausumbau, xxxx, 10 793,-</v>
      </c>
      <c r="E71" s="264" t="s">
        <v>154</v>
      </c>
      <c r="F71" s="264"/>
      <c r="G71" s="238"/>
      <c r="H71" s="265" t="str">
        <f t="shared" si="8"/>
        <v/>
      </c>
      <c r="I71" s="261" t="str">
        <f t="shared" si="9"/>
        <v>Fehlt</v>
      </c>
      <c r="J71" s="266">
        <f t="shared" si="10"/>
        <v>0</v>
      </c>
      <c r="K71" s="258" t="s">
        <v>155</v>
      </c>
      <c r="L71" s="258">
        <f t="shared" si="11"/>
        <v>1</v>
      </c>
      <c r="M71" s="386" t="str">
        <f t="shared" si="12"/>
        <v>│ 28000: B5, 02.08., Wohnhausumbau, xxxx, 10 793,-│                         │----------│</v>
      </c>
      <c r="N71" s="259" t="str">
        <f t="shared" ref="N71:N134" si="13">IF($N$1="","",$N$1)</f>
        <v>x</v>
      </c>
    </row>
    <row r="72" spans="1:14" ht="12.75" customHeight="1" x14ac:dyDescent="0.25">
      <c r="A72" s="238"/>
      <c r="B72" s="240" t="str">
        <f>"Buchung BK "&amp;'B-BK'!C67</f>
        <v>Buchung BK 27</v>
      </c>
      <c r="C72" s="270" t="str">
        <f>'H-BK'!K67</f>
        <v>Rückz</v>
      </c>
      <c r="D72" s="263" t="str">
        <f>IF('H-BK'!D67="","",'H-BK'!D67)</f>
        <v xml:space="preserve"> 28000: B6, 08.09., Rückzahlung Darlehen, xxxx, 1 898,-</v>
      </c>
      <c r="E72" s="264" t="s">
        <v>154</v>
      </c>
      <c r="F72" s="264"/>
      <c r="G72" s="238"/>
      <c r="H72" s="265" t="str">
        <f t="shared" si="8"/>
        <v/>
      </c>
      <c r="I72" s="261" t="str">
        <f t="shared" si="9"/>
        <v>Fehlt</v>
      </c>
      <c r="J72" s="266">
        <f t="shared" si="10"/>
        <v>0</v>
      </c>
      <c r="K72" s="258" t="s">
        <v>155</v>
      </c>
      <c r="L72" s="258">
        <f t="shared" si="11"/>
        <v>1</v>
      </c>
      <c r="M72" s="386" t="str">
        <f t="shared" si="12"/>
        <v>│ 28000: B6, 08.09., Rückzahlung Darlehen, xxxx, 1 898,-│                         │----------│</v>
      </c>
      <c r="N72" s="259" t="str">
        <f t="shared" si="13"/>
        <v>x</v>
      </c>
    </row>
    <row r="73" spans="1:14" ht="12.75" hidden="1" customHeight="1" x14ac:dyDescent="0.25">
      <c r="A73" s="238"/>
      <c r="B73" s="240" t="str">
        <f>"Buchung BK "&amp;'B-BK'!C68</f>
        <v>Buchung BK 28</v>
      </c>
      <c r="C73" s="270" t="str">
        <f>'H-BK'!K68</f>
        <v/>
      </c>
      <c r="D73" s="263" t="str">
        <f>IF('H-BK'!D68="","",'H-BK'!D68)</f>
        <v/>
      </c>
      <c r="E73" s="264" t="s">
        <v>154</v>
      </c>
      <c r="F73" s="264"/>
      <c r="G73" s="238"/>
      <c r="H73" s="265" t="str">
        <f t="shared" si="8"/>
        <v/>
      </c>
      <c r="I73" s="261" t="str">
        <f t="shared" si="9"/>
        <v/>
      </c>
      <c r="J73" s="266" t="str">
        <f t="shared" si="10"/>
        <v>-</v>
      </c>
      <c r="K73" s="258" t="s">
        <v>155</v>
      </c>
      <c r="L73" s="258" t="str">
        <f t="shared" si="11"/>
        <v>-</v>
      </c>
      <c r="M73" s="386" t="str">
        <f t="shared" si="12"/>
        <v>│----------│----------│</v>
      </c>
      <c r="N73" s="259" t="str">
        <f t="shared" si="13"/>
        <v>x</v>
      </c>
    </row>
    <row r="74" spans="1:14" ht="12.75" hidden="1" customHeight="1" x14ac:dyDescent="0.25">
      <c r="A74" s="238"/>
      <c r="B74" s="240" t="str">
        <f>"Buchung BK "&amp;'B-BK'!C69</f>
        <v>Buchung BK 29</v>
      </c>
      <c r="C74" s="270" t="str">
        <f>'H-BK'!K69</f>
        <v/>
      </c>
      <c r="D74" s="263" t="str">
        <f>IF('H-BK'!D69="","",'H-BK'!D69)</f>
        <v/>
      </c>
      <c r="E74" s="264" t="s">
        <v>154</v>
      </c>
      <c r="F74" s="264"/>
      <c r="G74" s="238"/>
      <c r="H74" s="265" t="str">
        <f t="shared" si="8"/>
        <v/>
      </c>
      <c r="I74" s="261" t="str">
        <f t="shared" si="9"/>
        <v/>
      </c>
      <c r="J74" s="266" t="str">
        <f t="shared" si="10"/>
        <v>-</v>
      </c>
      <c r="K74" s="258" t="s">
        <v>155</v>
      </c>
      <c r="L74" s="258" t="str">
        <f t="shared" si="11"/>
        <v>-</v>
      </c>
      <c r="M74" s="386" t="str">
        <f t="shared" si="12"/>
        <v>│----------│----------│</v>
      </c>
      <c r="N74" s="259" t="str">
        <f t="shared" si="13"/>
        <v>x</v>
      </c>
    </row>
    <row r="75" spans="1:14" ht="12.75" hidden="1" customHeight="1" x14ac:dyDescent="0.25">
      <c r="A75" s="238"/>
      <c r="B75" s="240" t="str">
        <f>"Buchung BK "&amp;'B-BK'!C70</f>
        <v>Buchung BK 30</v>
      </c>
      <c r="C75" s="270" t="str">
        <f>'H-BK'!K70</f>
        <v/>
      </c>
      <c r="D75" s="263" t="str">
        <f>IF('H-BK'!D70="","",'H-BK'!D70)</f>
        <v/>
      </c>
      <c r="E75" s="264" t="s">
        <v>154</v>
      </c>
      <c r="F75" s="264"/>
      <c r="G75" s="238"/>
      <c r="H75" s="265" t="str">
        <f t="shared" si="8"/>
        <v/>
      </c>
      <c r="I75" s="261" t="str">
        <f t="shared" si="9"/>
        <v/>
      </c>
      <c r="J75" s="266" t="str">
        <f t="shared" si="10"/>
        <v>-</v>
      </c>
      <c r="K75" s="258" t="s">
        <v>155</v>
      </c>
      <c r="L75" s="258" t="str">
        <f t="shared" si="11"/>
        <v>-</v>
      </c>
      <c r="M75" s="386" t="str">
        <f t="shared" si="12"/>
        <v>│----------│----------│</v>
      </c>
      <c r="N75" s="259" t="str">
        <f t="shared" si="13"/>
        <v>x</v>
      </c>
    </row>
    <row r="76" spans="1:14" ht="12.75" hidden="1" customHeight="1" x14ac:dyDescent="0.25">
      <c r="A76" s="238"/>
      <c r="B76" s="240" t="str">
        <f>"Buchung BK "&amp;'B-BK'!C71</f>
        <v>Buchung BK 31</v>
      </c>
      <c r="C76" s="270" t="str">
        <f>'H-BK'!K71</f>
        <v/>
      </c>
      <c r="D76" s="263" t="str">
        <f>IF('H-BK'!D71="","",'H-BK'!D71)</f>
        <v/>
      </c>
      <c r="E76" s="264" t="s">
        <v>154</v>
      </c>
      <c r="F76" s="264"/>
      <c r="G76" s="238"/>
      <c r="H76" s="265" t="str">
        <f t="shared" si="8"/>
        <v/>
      </c>
      <c r="I76" s="261" t="str">
        <f t="shared" si="9"/>
        <v/>
      </c>
      <c r="J76" s="266" t="str">
        <f t="shared" si="10"/>
        <v>-</v>
      </c>
      <c r="K76" s="258" t="s">
        <v>155</v>
      </c>
      <c r="L76" s="258" t="str">
        <f t="shared" si="11"/>
        <v>-</v>
      </c>
      <c r="M76" s="386" t="str">
        <f t="shared" si="12"/>
        <v>│----------│----------│</v>
      </c>
      <c r="N76" s="259" t="str">
        <f t="shared" si="13"/>
        <v>x</v>
      </c>
    </row>
    <row r="77" spans="1:14" ht="12.75" customHeight="1" x14ac:dyDescent="0.25">
      <c r="A77" s="238"/>
      <c r="B77" s="240" t="str">
        <f>"Buchung BK "&amp;'B-BK'!C72</f>
        <v>Buchung BK 32</v>
      </c>
      <c r="C77" s="270" t="str">
        <f>'H-BK'!K72</f>
        <v>SALDO</v>
      </c>
      <c r="D77" s="263" t="str">
        <f>IF('H-BK'!D72="","",'H-BK'!D72)</f>
        <v xml:space="preserve"> 28000: AB, 31.12., SALDO, xxxx, 237,-</v>
      </c>
      <c r="E77" s="264" t="s">
        <v>154</v>
      </c>
      <c r="F77" s="264"/>
      <c r="G77" s="238"/>
      <c r="H77" s="265" t="str">
        <f t="shared" si="8"/>
        <v/>
      </c>
      <c r="I77" s="261" t="str">
        <f t="shared" si="9"/>
        <v>Fehlt</v>
      </c>
      <c r="J77" s="266">
        <f t="shared" si="10"/>
        <v>0</v>
      </c>
      <c r="K77" s="258" t="s">
        <v>155</v>
      </c>
      <c r="L77" s="258">
        <f t="shared" si="11"/>
        <v>1</v>
      </c>
      <c r="M77" s="386" t="str">
        <f t="shared" si="12"/>
        <v>│ 28000: AB, 31.12., SALDO, xxxx, 237,-│                         │----------│</v>
      </c>
      <c r="N77" s="259" t="str">
        <f t="shared" si="13"/>
        <v>x</v>
      </c>
    </row>
    <row r="78" spans="1:14" ht="12.75" customHeight="1" x14ac:dyDescent="0.25">
      <c r="A78" s="238"/>
      <c r="B78" s="240" t="str">
        <f>"Buchung BK "&amp;'B-BK'!C73</f>
        <v>Buchung BK 33</v>
      </c>
      <c r="C78" s="270" t="str">
        <f>'H-BK'!K73</f>
        <v>Summe</v>
      </c>
      <c r="D78" s="263" t="str">
        <f>IF('H-BK'!D73="","",'H-BK'!D73)</f>
        <v xml:space="preserve"> 28000: Summe, 31 383,-, 31 383,-</v>
      </c>
      <c r="E78" s="264" t="s">
        <v>154</v>
      </c>
      <c r="F78" s="264"/>
      <c r="G78" s="238"/>
      <c r="H78" s="265" t="str">
        <f t="shared" ref="H78:H108" si="14">IF(OR(D78="",TYPE(VLOOKUP(MID(D78,1,FIND(": ",D78,1)-1)&amp;C78,B_BK,2,0))=16),"",VLOOKUP(MID(D78,1,FIND(": ",D78,1)-1)&amp;C78,B_BK,2,0))</f>
        <v/>
      </c>
      <c r="I78" s="261" t="str">
        <f t="shared" si="9"/>
        <v>Fehlt</v>
      </c>
      <c r="J78" s="266">
        <f t="shared" ref="J78:J108" si="15">IF(OR($N78&lt;&gt;"x",AND(D78="",H78="")),"-",IF(I78="Richtig!",1,IF(I78="Formel: OK",0.5,IF(OR(I78="Falsch",I78="Fehlt"),0,""))))</f>
        <v>0</v>
      </c>
      <c r="K78" s="258" t="s">
        <v>155</v>
      </c>
      <c r="L78" s="258">
        <f t="shared" ref="L78:L108" si="16">IF(OR($N78&lt;&gt;"x",AND(D78="",H78="")),"-",1)</f>
        <v>1</v>
      </c>
      <c r="M78" s="386" t="str">
        <f t="shared" ref="M78:M108" si="17">IF(D78="","│----------│","│"&amp;D78&amp;"│                         │")&amp;IF(H78="","----------│",H78&amp;"│")</f>
        <v>│ 28000: Summe, 31 383,-, 31 383,-│                         │----------│</v>
      </c>
      <c r="N78" s="259" t="str">
        <f t="shared" si="13"/>
        <v>x</v>
      </c>
    </row>
    <row r="79" spans="1:14" ht="12.75" customHeight="1" x14ac:dyDescent="0.25">
      <c r="A79" s="238"/>
      <c r="B79" s="240" t="str">
        <f>"Buchung BK "&amp;'B-BK'!C74</f>
        <v>Buchung BK 34</v>
      </c>
      <c r="C79" s="270" t="str">
        <f>'H-BK'!K74</f>
        <v>AB Vo</v>
      </c>
      <c r="D79" s="263" t="str">
        <f>IF('H-BK'!D74="","",'H-BK'!D74)</f>
        <v xml:space="preserve"> 14020: EB, 01.01., AB Vorräte selbsterz., 2 530,-, xxxx</v>
      </c>
      <c r="E79" s="264" t="s">
        <v>154</v>
      </c>
      <c r="F79" s="264"/>
      <c r="G79" s="238"/>
      <c r="H79" s="265" t="str">
        <f t="shared" si="14"/>
        <v/>
      </c>
      <c r="I79" s="261" t="str">
        <f t="shared" si="9"/>
        <v>Fehlt</v>
      </c>
      <c r="J79" s="266">
        <f t="shared" si="15"/>
        <v>0</v>
      </c>
      <c r="K79" s="258" t="s">
        <v>155</v>
      </c>
      <c r="L79" s="258">
        <f t="shared" si="16"/>
        <v>1</v>
      </c>
      <c r="M79" s="386" t="str">
        <f t="shared" si="17"/>
        <v>│ 14020: EB, 01.01., AB Vorräte selbsterz., 2 530,-, xxxx│                         │----------│</v>
      </c>
      <c r="N79" s="259" t="str">
        <f t="shared" si="13"/>
        <v>x</v>
      </c>
    </row>
    <row r="80" spans="1:14" ht="12.75" customHeight="1" x14ac:dyDescent="0.25">
      <c r="A80" s="238"/>
      <c r="B80" s="240" t="str">
        <f>"Buchung BK "&amp;'B-BK'!C75</f>
        <v>Buchung BK 35</v>
      </c>
      <c r="C80" s="270" t="str">
        <f>'H-BK'!K75</f>
        <v>Minde</v>
      </c>
      <c r="D80" s="263" t="str">
        <f>IF('H-BK'!D75="","",'H-BK'!D75)</f>
        <v xml:space="preserve"> 14020: AB, 31.12., Minderwert se. Vorr. (Schafskäse), xxxx, 1 042,-</v>
      </c>
      <c r="E80" s="264" t="s">
        <v>154</v>
      </c>
      <c r="F80" s="264"/>
      <c r="G80" s="238"/>
      <c r="H80" s="265" t="str">
        <f t="shared" si="14"/>
        <v/>
      </c>
      <c r="I80" s="261" t="str">
        <f t="shared" si="9"/>
        <v>Fehlt</v>
      </c>
      <c r="J80" s="266">
        <f t="shared" si="15"/>
        <v>0</v>
      </c>
      <c r="K80" s="258" t="s">
        <v>155</v>
      </c>
      <c r="L80" s="258">
        <f t="shared" si="16"/>
        <v>1</v>
      </c>
      <c r="M80" s="386" t="str">
        <f t="shared" si="17"/>
        <v>│ 14020: AB, 31.12., Minderwert se. Vorr. (Schafskäse), xxxx, 1 042,-│                         │----------│</v>
      </c>
      <c r="N80" s="259" t="str">
        <f t="shared" si="13"/>
        <v>x</v>
      </c>
    </row>
    <row r="81" spans="1:14" ht="12.75" hidden="1" customHeight="1" x14ac:dyDescent="0.25">
      <c r="A81" s="238"/>
      <c r="B81" s="240" t="str">
        <f>"Buchung BK "&amp;'B-BK'!C76</f>
        <v>Buchung BK 36</v>
      </c>
      <c r="C81" s="270" t="str">
        <f>'H-BK'!K76</f>
        <v/>
      </c>
      <c r="D81" s="263" t="str">
        <f>IF('H-BK'!D76="","",'H-BK'!D76)</f>
        <v/>
      </c>
      <c r="E81" s="264" t="s">
        <v>154</v>
      </c>
      <c r="F81" s="264"/>
      <c r="G81" s="238"/>
      <c r="H81" s="265" t="str">
        <f t="shared" si="14"/>
        <v/>
      </c>
      <c r="I81" s="261" t="str">
        <f t="shared" si="9"/>
        <v/>
      </c>
      <c r="J81" s="266" t="str">
        <f t="shared" si="15"/>
        <v>-</v>
      </c>
      <c r="K81" s="258" t="s">
        <v>155</v>
      </c>
      <c r="L81" s="258" t="str">
        <f t="shared" si="16"/>
        <v>-</v>
      </c>
      <c r="M81" s="386" t="str">
        <f t="shared" si="17"/>
        <v>│----------│----------│</v>
      </c>
      <c r="N81" s="259" t="str">
        <f t="shared" si="13"/>
        <v>x</v>
      </c>
    </row>
    <row r="82" spans="1:14" ht="12.75" customHeight="1" x14ac:dyDescent="0.25">
      <c r="A82" s="238"/>
      <c r="B82" s="240" t="str">
        <f>"Buchung BK "&amp;'B-BK'!C77</f>
        <v>Buchung BK 37</v>
      </c>
      <c r="C82" s="270" t="str">
        <f>'H-BK'!K77</f>
        <v>SALDO</v>
      </c>
      <c r="D82" s="263" t="str">
        <f>IF('H-BK'!D77="","",'H-BK'!D77)</f>
        <v xml:space="preserve"> 14020: AB, 31.12., SALDO, xxxx, 1 488,-</v>
      </c>
      <c r="E82" s="264" t="s">
        <v>154</v>
      </c>
      <c r="F82" s="264"/>
      <c r="G82" s="238"/>
      <c r="H82" s="265" t="str">
        <f t="shared" si="14"/>
        <v/>
      </c>
      <c r="I82" s="261" t="str">
        <f t="shared" si="9"/>
        <v>Fehlt</v>
      </c>
      <c r="J82" s="266">
        <f t="shared" si="15"/>
        <v>0</v>
      </c>
      <c r="K82" s="258" t="s">
        <v>155</v>
      </c>
      <c r="L82" s="258">
        <f t="shared" si="16"/>
        <v>1</v>
      </c>
      <c r="M82" s="386" t="str">
        <f t="shared" si="17"/>
        <v>│ 14020: AB, 31.12., SALDO, xxxx, 1 488,-│                         │----------│</v>
      </c>
      <c r="N82" s="259" t="str">
        <f t="shared" si="13"/>
        <v>x</v>
      </c>
    </row>
    <row r="83" spans="1:14" ht="12.75" customHeight="1" x14ac:dyDescent="0.25">
      <c r="A83" s="238"/>
      <c r="B83" s="240" t="str">
        <f>"Buchung BK "&amp;'B-BK'!C78</f>
        <v>Buchung BK 38</v>
      </c>
      <c r="C83" s="270" t="str">
        <f>'H-BK'!K78</f>
        <v>Summe</v>
      </c>
      <c r="D83" s="263" t="str">
        <f>IF('H-BK'!D78="","",'H-BK'!D78)</f>
        <v xml:space="preserve"> 14020: Summe, 2 530,-, 2 530,-</v>
      </c>
      <c r="E83" s="264" t="s">
        <v>154</v>
      </c>
      <c r="F83" s="264"/>
      <c r="G83" s="238"/>
      <c r="H83" s="265" t="str">
        <f t="shared" si="14"/>
        <v/>
      </c>
      <c r="I83" s="261" t="str">
        <f t="shared" si="9"/>
        <v>Fehlt</v>
      </c>
      <c r="J83" s="266">
        <f t="shared" si="15"/>
        <v>0</v>
      </c>
      <c r="K83" s="258" t="s">
        <v>155</v>
      </c>
      <c r="L83" s="258">
        <f t="shared" si="16"/>
        <v>1</v>
      </c>
      <c r="M83" s="386" t="str">
        <f t="shared" si="17"/>
        <v>│ 14020: Summe, 2 530,-, 2 530,-│                         │----------│</v>
      </c>
      <c r="N83" s="259" t="str">
        <f t="shared" si="13"/>
        <v>x</v>
      </c>
    </row>
    <row r="84" spans="1:14" ht="12.75" customHeight="1" x14ac:dyDescent="0.25">
      <c r="A84" s="238"/>
      <c r="B84" s="240" t="str">
        <f>"Buchung BK "&amp;'B-BK'!C79</f>
        <v>Buchung BK 39</v>
      </c>
      <c r="C84" s="270" t="str">
        <f>'H-BK'!K79</f>
        <v>Zucht</v>
      </c>
      <c r="D84" s="263" t="str">
        <f>IF('H-BK'!D79="","",'H-BK'!D79)</f>
        <v xml:space="preserve"> 200001: A1, 21.03., Zuchtschafverkauf, 674,-, xxxx</v>
      </c>
      <c r="E84" s="264" t="s">
        <v>154</v>
      </c>
      <c r="F84" s="264"/>
      <c r="G84" s="238"/>
      <c r="H84" s="265" t="str">
        <f t="shared" si="14"/>
        <v/>
      </c>
      <c r="I84" s="261" t="str">
        <f t="shared" si="9"/>
        <v>Fehlt</v>
      </c>
      <c r="J84" s="266">
        <f t="shared" si="15"/>
        <v>0</v>
      </c>
      <c r="K84" s="258" t="s">
        <v>155</v>
      </c>
      <c r="L84" s="258">
        <f t="shared" si="16"/>
        <v>1</v>
      </c>
      <c r="M84" s="386" t="str">
        <f t="shared" si="17"/>
        <v>│ 200001: A1, 21.03., Zuchtschafverkauf, 674,-, xxxx│                         │----------│</v>
      </c>
      <c r="N84" s="259" t="str">
        <f t="shared" si="13"/>
        <v>x</v>
      </c>
    </row>
    <row r="85" spans="1:14" ht="12.75" customHeight="1" x14ac:dyDescent="0.25">
      <c r="A85" s="238"/>
      <c r="B85" s="240" t="str">
        <f>"Buchung BK "&amp;'B-BK'!C80</f>
        <v>Buchung BK 40</v>
      </c>
      <c r="C85" s="270" t="str">
        <f>'H-BK'!K80</f>
        <v>TSV ü</v>
      </c>
      <c r="D85" s="263" t="str">
        <f>IF('H-BK'!D80="","",'H-BK'!D80)</f>
        <v xml:space="preserve"> 200001: B3, 20.04., TSV überweist Vesteigerungsentgelt, xxxx, 674,-</v>
      </c>
      <c r="E85" s="264" t="s">
        <v>154</v>
      </c>
      <c r="F85" s="264"/>
      <c r="G85" s="238"/>
      <c r="H85" s="265" t="str">
        <f t="shared" si="14"/>
        <v/>
      </c>
      <c r="I85" s="261" t="str">
        <f t="shared" si="9"/>
        <v>Fehlt</v>
      </c>
      <c r="J85" s="266">
        <f t="shared" si="15"/>
        <v>0</v>
      </c>
      <c r="K85" s="258" t="s">
        <v>155</v>
      </c>
      <c r="L85" s="258">
        <f t="shared" si="16"/>
        <v>1</v>
      </c>
      <c r="M85" s="386" t="str">
        <f t="shared" si="17"/>
        <v>│ 200001: B3, 20.04., TSV überweist Vesteigerungsentgelt, xxxx, 674,-│                         │----------│</v>
      </c>
      <c r="N85" s="259" t="str">
        <f t="shared" si="13"/>
        <v>x</v>
      </c>
    </row>
    <row r="86" spans="1:14" ht="12.75" hidden="1" customHeight="1" x14ac:dyDescent="0.25">
      <c r="A86" s="238"/>
      <c r="B86" s="240" t="str">
        <f>"Buchung BK "&amp;'B-BK'!C81</f>
        <v>Buchung BK 41</v>
      </c>
      <c r="C86" s="270" t="str">
        <f>'H-BK'!K81</f>
        <v/>
      </c>
      <c r="D86" s="263" t="str">
        <f>IF('H-BK'!D81="","",'H-BK'!D81)</f>
        <v/>
      </c>
      <c r="E86" s="264" t="s">
        <v>154</v>
      </c>
      <c r="F86" s="264"/>
      <c r="G86" s="238"/>
      <c r="H86" s="265" t="str">
        <f t="shared" si="14"/>
        <v/>
      </c>
      <c r="I86" s="261" t="str">
        <f t="shared" si="9"/>
        <v/>
      </c>
      <c r="J86" s="266" t="str">
        <f t="shared" si="15"/>
        <v>-</v>
      </c>
      <c r="K86" s="258" t="s">
        <v>155</v>
      </c>
      <c r="L86" s="258" t="str">
        <f t="shared" si="16"/>
        <v>-</v>
      </c>
      <c r="M86" s="386" t="str">
        <f t="shared" si="17"/>
        <v>│----------│----------│</v>
      </c>
      <c r="N86" s="259" t="str">
        <f t="shared" si="13"/>
        <v>x</v>
      </c>
    </row>
    <row r="87" spans="1:14" ht="12.75" hidden="1" customHeight="1" x14ac:dyDescent="0.25">
      <c r="A87" s="238"/>
      <c r="B87" s="240" t="str">
        <f>"Buchung BK "&amp;'B-BK'!C82</f>
        <v>Buchung BK 42</v>
      </c>
      <c r="C87" s="270" t="str">
        <f>'H-BK'!K82</f>
        <v>SALDO</v>
      </c>
      <c r="D87" s="263" t="str">
        <f>IF('H-BK'!D82="","",'H-BK'!D82)</f>
        <v/>
      </c>
      <c r="E87" s="264" t="s">
        <v>154</v>
      </c>
      <c r="F87" s="264"/>
      <c r="G87" s="238"/>
      <c r="H87" s="265" t="str">
        <f t="shared" si="14"/>
        <v/>
      </c>
      <c r="I87" s="261" t="str">
        <f t="shared" si="9"/>
        <v/>
      </c>
      <c r="J87" s="266" t="str">
        <f t="shared" si="15"/>
        <v>-</v>
      </c>
      <c r="K87" s="258" t="s">
        <v>155</v>
      </c>
      <c r="L87" s="258" t="str">
        <f t="shared" si="16"/>
        <v>-</v>
      </c>
      <c r="M87" s="386" t="str">
        <f t="shared" si="17"/>
        <v>│----------│----------│</v>
      </c>
      <c r="N87" s="259" t="str">
        <f t="shared" si="13"/>
        <v>x</v>
      </c>
    </row>
    <row r="88" spans="1:14" ht="12.75" customHeight="1" x14ac:dyDescent="0.25">
      <c r="A88" s="238"/>
      <c r="B88" s="240" t="str">
        <f>"Buchung BK "&amp;'B-BK'!C83</f>
        <v>Buchung BK 43</v>
      </c>
      <c r="C88" s="270" t="str">
        <f>'H-BK'!K83</f>
        <v>Summe</v>
      </c>
      <c r="D88" s="263" t="str">
        <f>IF('H-BK'!D83="","",'H-BK'!D83)</f>
        <v xml:space="preserve"> 200001: Summe, 674,-, 674,-</v>
      </c>
      <c r="E88" s="264" t="s">
        <v>154</v>
      </c>
      <c r="F88" s="264"/>
      <c r="G88" s="238"/>
      <c r="H88" s="265" t="str">
        <f t="shared" si="14"/>
        <v/>
      </c>
      <c r="I88" s="261" t="str">
        <f t="shared" si="9"/>
        <v>Fehlt</v>
      </c>
      <c r="J88" s="266">
        <f t="shared" si="15"/>
        <v>0</v>
      </c>
      <c r="K88" s="258" t="s">
        <v>155</v>
      </c>
      <c r="L88" s="258">
        <f t="shared" si="16"/>
        <v>1</v>
      </c>
      <c r="M88" s="386" t="str">
        <f t="shared" si="17"/>
        <v>│ 200001: Summe, 674,-, 674,-│                         │----------│</v>
      </c>
      <c r="N88" s="259" t="str">
        <f t="shared" si="13"/>
        <v>x</v>
      </c>
    </row>
    <row r="89" spans="1:14" ht="12.75" customHeight="1" x14ac:dyDescent="0.25">
      <c r="A89" s="238"/>
      <c r="B89" s="240" t="str">
        <f>"Buchung BK "&amp;'B-BK'!C84</f>
        <v>Buchung BK 44</v>
      </c>
      <c r="C89" s="270" t="str">
        <f>'H-BK'!K84</f>
        <v>AB Sc</v>
      </c>
      <c r="D89" s="263" t="str">
        <f>IF('H-BK'!D84="","",'H-BK'!D84)</f>
        <v xml:space="preserve"> 14300: EB, 01.01., AB Schafe, 39 446,-, xxxx</v>
      </c>
      <c r="E89" s="264" t="s">
        <v>154</v>
      </c>
      <c r="F89" s="264"/>
      <c r="G89" s="238"/>
      <c r="H89" s="265" t="str">
        <f t="shared" si="14"/>
        <v/>
      </c>
      <c r="I89" s="261" t="str">
        <f t="shared" si="9"/>
        <v>Fehlt</v>
      </c>
      <c r="J89" s="266">
        <f t="shared" si="15"/>
        <v>0</v>
      </c>
      <c r="K89" s="258" t="s">
        <v>155</v>
      </c>
      <c r="L89" s="258">
        <f t="shared" si="16"/>
        <v>1</v>
      </c>
      <c r="M89" s="386" t="str">
        <f t="shared" si="17"/>
        <v>│ 14300: EB, 01.01., AB Schafe, 39 446,-, xxxx│                         │----------│</v>
      </c>
      <c r="N89" s="259" t="str">
        <f t="shared" si="13"/>
        <v>x</v>
      </c>
    </row>
    <row r="90" spans="1:14" ht="12.75" customHeight="1" x14ac:dyDescent="0.25">
      <c r="A90" s="238"/>
      <c r="B90" s="240" t="str">
        <f>"Buchung BK "&amp;'B-BK'!C85</f>
        <v>Buchung BK 45</v>
      </c>
      <c r="C90" s="270" t="str">
        <f>'H-BK'!K85</f>
        <v>Mehrw</v>
      </c>
      <c r="D90" s="263" t="str">
        <f>IF('H-BK'!D85="","",'H-BK'!D85)</f>
        <v xml:space="preserve"> 14300: AB, 31.12., Mehrwert Schafe, 503,-, xxxx</v>
      </c>
      <c r="E90" s="264" t="s">
        <v>154</v>
      </c>
      <c r="F90" s="264"/>
      <c r="G90" s="238"/>
      <c r="H90" s="265" t="str">
        <f t="shared" si="14"/>
        <v/>
      </c>
      <c r="I90" s="261" t="str">
        <f t="shared" si="9"/>
        <v>Fehlt</v>
      </c>
      <c r="J90" s="266">
        <f t="shared" si="15"/>
        <v>0</v>
      </c>
      <c r="K90" s="258" t="s">
        <v>155</v>
      </c>
      <c r="L90" s="258">
        <f t="shared" si="16"/>
        <v>1</v>
      </c>
      <c r="M90" s="386" t="str">
        <f t="shared" si="17"/>
        <v>│ 14300: AB, 31.12., Mehrwert Schafe, 503,-, xxxx│                         │----------│</v>
      </c>
      <c r="N90" s="259" t="str">
        <f t="shared" si="13"/>
        <v>x</v>
      </c>
    </row>
    <row r="91" spans="1:14" ht="12.75" hidden="1" customHeight="1" x14ac:dyDescent="0.25">
      <c r="A91" s="238"/>
      <c r="B91" s="240" t="str">
        <f>"Buchung BK "&amp;'B-BK'!C86</f>
        <v>Buchung BK 46</v>
      </c>
      <c r="C91" s="270" t="str">
        <f>'H-BK'!K86</f>
        <v/>
      </c>
      <c r="D91" s="263" t="str">
        <f>IF('H-BK'!D86="","",'H-BK'!D86)</f>
        <v/>
      </c>
      <c r="E91" s="264" t="s">
        <v>154</v>
      </c>
      <c r="F91" s="264"/>
      <c r="G91" s="238"/>
      <c r="H91" s="265" t="str">
        <f t="shared" si="14"/>
        <v/>
      </c>
      <c r="I91" s="261" t="str">
        <f t="shared" si="9"/>
        <v/>
      </c>
      <c r="J91" s="266" t="str">
        <f t="shared" si="15"/>
        <v>-</v>
      </c>
      <c r="K91" s="258" t="s">
        <v>155</v>
      </c>
      <c r="L91" s="258" t="str">
        <f t="shared" si="16"/>
        <v>-</v>
      </c>
      <c r="M91" s="386" t="str">
        <f t="shared" si="17"/>
        <v>│----------│----------│</v>
      </c>
      <c r="N91" s="259" t="str">
        <f t="shared" si="13"/>
        <v>x</v>
      </c>
    </row>
    <row r="92" spans="1:14" ht="12.75" customHeight="1" x14ac:dyDescent="0.25">
      <c r="A92" s="238"/>
      <c r="B92" s="240" t="str">
        <f>"Buchung BK "&amp;'B-BK'!C87</f>
        <v>Buchung BK 47</v>
      </c>
      <c r="C92" s="270" t="str">
        <f>'H-BK'!K87</f>
        <v>SALDO</v>
      </c>
      <c r="D92" s="263" t="str">
        <f>IF('H-BK'!D87="","",'H-BK'!D87)</f>
        <v xml:space="preserve"> 14300: AB, 31.12., SALDO, xxxx, 39 949,-</v>
      </c>
      <c r="E92" s="264" t="s">
        <v>154</v>
      </c>
      <c r="F92" s="264"/>
      <c r="G92" s="238"/>
      <c r="H92" s="265" t="str">
        <f t="shared" si="14"/>
        <v/>
      </c>
      <c r="I92" s="261" t="str">
        <f t="shared" si="9"/>
        <v>Fehlt</v>
      </c>
      <c r="J92" s="266">
        <f t="shared" si="15"/>
        <v>0</v>
      </c>
      <c r="K92" s="258" t="s">
        <v>155</v>
      </c>
      <c r="L92" s="258">
        <f t="shared" si="16"/>
        <v>1</v>
      </c>
      <c r="M92" s="386" t="str">
        <f t="shared" si="17"/>
        <v>│ 14300: AB, 31.12., SALDO, xxxx, 39 949,-│                         │----------│</v>
      </c>
      <c r="N92" s="259" t="str">
        <f t="shared" si="13"/>
        <v>x</v>
      </c>
    </row>
    <row r="93" spans="1:14" ht="12.75" customHeight="1" x14ac:dyDescent="0.25">
      <c r="A93" s="238"/>
      <c r="B93" s="240" t="str">
        <f>"Buchung BK "&amp;'B-BK'!C88</f>
        <v>Buchung BK 48</v>
      </c>
      <c r="C93" s="270" t="str">
        <f>'H-BK'!K88</f>
        <v>Summe</v>
      </c>
      <c r="D93" s="263" t="str">
        <f>IF('H-BK'!D88="","",'H-BK'!D88)</f>
        <v xml:space="preserve"> 14300: Summe, 39 949,-, 39 949,-</v>
      </c>
      <c r="E93" s="264" t="s">
        <v>154</v>
      </c>
      <c r="F93" s="264"/>
      <c r="G93" s="238"/>
      <c r="H93" s="265" t="str">
        <f t="shared" si="14"/>
        <v/>
      </c>
      <c r="I93" s="261" t="str">
        <f t="shared" si="9"/>
        <v>Fehlt</v>
      </c>
      <c r="J93" s="266">
        <f t="shared" si="15"/>
        <v>0</v>
      </c>
      <c r="K93" s="258" t="s">
        <v>155</v>
      </c>
      <c r="L93" s="258">
        <f t="shared" si="16"/>
        <v>1</v>
      </c>
      <c r="M93" s="386" t="str">
        <f t="shared" si="17"/>
        <v>│ 14300: Summe, 39 949,-, 39 949,-│                         │----------│</v>
      </c>
      <c r="N93" s="259" t="str">
        <f t="shared" si="13"/>
        <v>x</v>
      </c>
    </row>
    <row r="94" spans="1:14" ht="12.75" customHeight="1" x14ac:dyDescent="0.25">
      <c r="A94" s="238"/>
      <c r="B94" s="240" t="str">
        <f>"Buchung BK "&amp;'B-BK'!C89</f>
        <v>Buchung BK 49</v>
      </c>
      <c r="C94" s="270" t="str">
        <f>'H-BK'!K89</f>
        <v>AB Fo</v>
      </c>
      <c r="D94" s="263" t="str">
        <f>IF('H-BK'!D89="","",'H-BK'!D89)</f>
        <v xml:space="preserve"> 200002: EB, 01.01., AB Forderungen
Metzger Müller, 968,-, xxxx</v>
      </c>
      <c r="E94" s="264" t="s">
        <v>154</v>
      </c>
      <c r="F94" s="264"/>
      <c r="G94" s="238"/>
      <c r="H94" s="265" t="str">
        <f t="shared" si="14"/>
        <v/>
      </c>
      <c r="I94" s="261" t="str">
        <f t="shared" si="9"/>
        <v>Fehlt</v>
      </c>
      <c r="J94" s="266">
        <f t="shared" si="15"/>
        <v>0</v>
      </c>
      <c r="K94" s="258" t="s">
        <v>155</v>
      </c>
      <c r="L94" s="258">
        <f t="shared" si="16"/>
        <v>1</v>
      </c>
      <c r="M94" s="386" t="str">
        <f t="shared" si="17"/>
        <v>│ 200002: EB, 01.01., AB Forderungen
Metzger Müller, 968,-, xxxx│                         │----------│</v>
      </c>
      <c r="N94" s="259" t="str">
        <f t="shared" si="13"/>
        <v>x</v>
      </c>
    </row>
    <row r="95" spans="1:14" ht="12.75" customHeight="1" x14ac:dyDescent="0.25">
      <c r="A95" s="238"/>
      <c r="B95" s="240" t="str">
        <f>"Buchung BK "&amp;'B-BK'!C90</f>
        <v>Buchung BK 50</v>
      </c>
      <c r="C95" s="270" t="str">
        <f>'H-BK'!K90</f>
        <v>Metzg</v>
      </c>
      <c r="D95" s="263" t="str">
        <f>IF('H-BK'!D90="","",'H-BK'!D90)</f>
        <v xml:space="preserve"> 200002: K1, 07.01., Metzger Müller zahlt Rechnung aus Vorjahr, xxxx, 968,-</v>
      </c>
      <c r="E95" s="264" t="s">
        <v>154</v>
      </c>
      <c r="F95" s="264"/>
      <c r="G95" s="238"/>
      <c r="H95" s="265" t="str">
        <f t="shared" si="14"/>
        <v/>
      </c>
      <c r="I95" s="261" t="str">
        <f t="shared" si="9"/>
        <v>Fehlt</v>
      </c>
      <c r="J95" s="266">
        <f t="shared" si="15"/>
        <v>0</v>
      </c>
      <c r="K95" s="258" t="s">
        <v>155</v>
      </c>
      <c r="L95" s="258">
        <f t="shared" si="16"/>
        <v>1</v>
      </c>
      <c r="M95" s="386" t="str">
        <f t="shared" si="17"/>
        <v>│ 200002: K1, 07.01., Metzger Müller zahlt Rechnung aus Vorjahr, xxxx, 968,-│                         │----------│</v>
      </c>
      <c r="N95" s="259" t="str">
        <f t="shared" si="13"/>
        <v>x</v>
      </c>
    </row>
    <row r="96" spans="1:14" ht="12.75" hidden="1" customHeight="1" x14ac:dyDescent="0.25">
      <c r="A96" s="238"/>
      <c r="B96" s="240" t="str">
        <f>"Buchung BK "&amp;'B-BK'!C91</f>
        <v>Buchung BK 51</v>
      </c>
      <c r="C96" s="270" t="str">
        <f>'H-BK'!K91</f>
        <v/>
      </c>
      <c r="D96" s="263" t="str">
        <f>IF('H-BK'!D91="","",'H-BK'!D91)</f>
        <v/>
      </c>
      <c r="E96" s="264" t="s">
        <v>154</v>
      </c>
      <c r="F96" s="264"/>
      <c r="G96" s="238"/>
      <c r="H96" s="265" t="str">
        <f t="shared" si="14"/>
        <v/>
      </c>
      <c r="I96" s="261" t="str">
        <f t="shared" si="9"/>
        <v/>
      </c>
      <c r="J96" s="266" t="str">
        <f t="shared" si="15"/>
        <v>-</v>
      </c>
      <c r="K96" s="258" t="s">
        <v>155</v>
      </c>
      <c r="L96" s="258" t="str">
        <f t="shared" si="16"/>
        <v>-</v>
      </c>
      <c r="M96" s="386" t="str">
        <f t="shared" si="17"/>
        <v>│----------│----------│</v>
      </c>
      <c r="N96" s="259" t="str">
        <f t="shared" si="13"/>
        <v>x</v>
      </c>
    </row>
    <row r="97" spans="1:14" ht="12.75" hidden="1" customHeight="1" x14ac:dyDescent="0.25">
      <c r="A97" s="238"/>
      <c r="B97" s="240" t="str">
        <f>"Buchung BK "&amp;'B-BK'!C92</f>
        <v>Buchung BK 52</v>
      </c>
      <c r="C97" s="270" t="str">
        <f>'H-BK'!K92</f>
        <v>SALDO</v>
      </c>
      <c r="D97" s="263" t="str">
        <f>IF('H-BK'!D92="","",'H-BK'!D92)</f>
        <v/>
      </c>
      <c r="E97" s="264" t="s">
        <v>154</v>
      </c>
      <c r="F97" s="264"/>
      <c r="G97" s="238"/>
      <c r="H97" s="265" t="str">
        <f t="shared" si="14"/>
        <v/>
      </c>
      <c r="I97" s="261" t="str">
        <f t="shared" si="9"/>
        <v/>
      </c>
      <c r="J97" s="266" t="str">
        <f t="shared" si="15"/>
        <v>-</v>
      </c>
      <c r="K97" s="258" t="s">
        <v>155</v>
      </c>
      <c r="L97" s="258" t="str">
        <f t="shared" si="16"/>
        <v>-</v>
      </c>
      <c r="M97" s="386" t="str">
        <f t="shared" si="17"/>
        <v>│----------│----------│</v>
      </c>
      <c r="N97" s="259" t="str">
        <f t="shared" si="13"/>
        <v>x</v>
      </c>
    </row>
    <row r="98" spans="1:14" ht="12.75" customHeight="1" x14ac:dyDescent="0.25">
      <c r="A98" s="238"/>
      <c r="B98" s="240" t="str">
        <f>"Buchung BK "&amp;'B-BK'!C93</f>
        <v>Buchung BK 53</v>
      </c>
      <c r="C98" s="270" t="str">
        <f>'H-BK'!K93</f>
        <v>Summe</v>
      </c>
      <c r="D98" s="263" t="str">
        <f>IF('H-BK'!D93="","",'H-BK'!D93)</f>
        <v xml:space="preserve"> 200002: Summe, 968,-, 968,-</v>
      </c>
      <c r="E98" s="264" t="s">
        <v>154</v>
      </c>
      <c r="F98" s="264"/>
      <c r="G98" s="238"/>
      <c r="H98" s="265" t="str">
        <f t="shared" si="14"/>
        <v/>
      </c>
      <c r="I98" s="261" t="str">
        <f t="shared" si="9"/>
        <v>Fehlt</v>
      </c>
      <c r="J98" s="266">
        <f t="shared" si="15"/>
        <v>0</v>
      </c>
      <c r="K98" s="258" t="s">
        <v>155</v>
      </c>
      <c r="L98" s="258">
        <f t="shared" si="16"/>
        <v>1</v>
      </c>
      <c r="M98" s="386" t="str">
        <f t="shared" si="17"/>
        <v>│ 200002: Summe, 968,-, 968,-│                         │----------│</v>
      </c>
      <c r="N98" s="259" t="str">
        <f t="shared" si="13"/>
        <v>x</v>
      </c>
    </row>
    <row r="99" spans="1:14" ht="12.75" customHeight="1" x14ac:dyDescent="0.25">
      <c r="A99" s="238"/>
      <c r="B99" s="240" t="str">
        <f>"Buchung BK "&amp;'B-BK'!C94</f>
        <v>Buchung BK 54</v>
      </c>
      <c r="C99" s="270" t="str">
        <f>'H-BK'!K94</f>
        <v>AB Da</v>
      </c>
      <c r="D99" s="263" t="str">
        <f>IF('H-BK'!D94="","",'H-BK'!D94)</f>
        <v xml:space="preserve"> 31510: EB, 01.01., AB Darlehen, xxxx, 9 303,-</v>
      </c>
      <c r="E99" s="264" t="s">
        <v>154</v>
      </c>
      <c r="F99" s="264"/>
      <c r="G99" s="238"/>
      <c r="H99" s="265" t="str">
        <f t="shared" si="14"/>
        <v/>
      </c>
      <c r="I99" s="261" t="str">
        <f t="shared" si="9"/>
        <v>Fehlt</v>
      </c>
      <c r="J99" s="266">
        <f t="shared" si="15"/>
        <v>0</v>
      </c>
      <c r="K99" s="258" t="s">
        <v>155</v>
      </c>
      <c r="L99" s="258">
        <f t="shared" si="16"/>
        <v>1</v>
      </c>
      <c r="M99" s="386" t="str">
        <f t="shared" si="17"/>
        <v>│ 31510: EB, 01.01., AB Darlehen, xxxx, 9 303,-│                         │----------│</v>
      </c>
      <c r="N99" s="259" t="str">
        <f t="shared" si="13"/>
        <v>x</v>
      </c>
    </row>
    <row r="100" spans="1:14" ht="12.75" customHeight="1" x14ac:dyDescent="0.25">
      <c r="A100" s="238"/>
      <c r="B100" s="240" t="str">
        <f>"Buchung BK "&amp;'B-BK'!C95</f>
        <v>Buchung BK 55</v>
      </c>
      <c r="C100" s="270" t="str">
        <f>'H-BK'!K95</f>
        <v>Darl.</v>
      </c>
      <c r="D100" s="263" t="str">
        <f>IF('H-BK'!D95="","",'H-BK'!D95)</f>
        <v xml:space="preserve"> 31510: B6, 08.09., Darl.: Tilgung , 1 340,-, xxxx</v>
      </c>
      <c r="E100" s="264" t="s">
        <v>154</v>
      </c>
      <c r="F100" s="264"/>
      <c r="G100" s="238"/>
      <c r="H100" s="265" t="str">
        <f t="shared" si="14"/>
        <v/>
      </c>
      <c r="I100" s="261" t="str">
        <f t="shared" si="9"/>
        <v>Fehlt</v>
      </c>
      <c r="J100" s="266">
        <f t="shared" si="15"/>
        <v>0</v>
      </c>
      <c r="K100" s="258" t="s">
        <v>155</v>
      </c>
      <c r="L100" s="258">
        <f t="shared" si="16"/>
        <v>1</v>
      </c>
      <c r="M100" s="386" t="str">
        <f t="shared" si="17"/>
        <v>│ 31510: B6, 08.09., Darl.: Tilgung , 1 340,-, xxxx│                         │----------│</v>
      </c>
      <c r="N100" s="259" t="str">
        <f t="shared" si="13"/>
        <v>x</v>
      </c>
    </row>
    <row r="101" spans="1:14" ht="12.75" hidden="1" customHeight="1" x14ac:dyDescent="0.25">
      <c r="A101" s="238"/>
      <c r="B101" s="240" t="str">
        <f>"Buchung BK "&amp;'B-BK'!C96</f>
        <v>Buchung BK 56</v>
      </c>
      <c r="C101" s="270" t="str">
        <f>'H-BK'!K96</f>
        <v/>
      </c>
      <c r="D101" s="263" t="str">
        <f>IF('H-BK'!D96="","",'H-BK'!D96)</f>
        <v/>
      </c>
      <c r="E101" s="264" t="s">
        <v>154</v>
      </c>
      <c r="F101" s="264"/>
      <c r="G101" s="238"/>
      <c r="H101" s="265" t="str">
        <f t="shared" si="14"/>
        <v/>
      </c>
      <c r="I101" s="261" t="str">
        <f t="shared" si="9"/>
        <v/>
      </c>
      <c r="J101" s="266" t="str">
        <f t="shared" si="15"/>
        <v>-</v>
      </c>
      <c r="K101" s="258" t="s">
        <v>155</v>
      </c>
      <c r="L101" s="258" t="str">
        <f t="shared" si="16"/>
        <v>-</v>
      </c>
      <c r="M101" s="386" t="str">
        <f t="shared" si="17"/>
        <v>│----------│----------│</v>
      </c>
      <c r="N101" s="259" t="str">
        <f t="shared" si="13"/>
        <v>x</v>
      </c>
    </row>
    <row r="102" spans="1:14" ht="12.75" customHeight="1" x14ac:dyDescent="0.25">
      <c r="A102" s="238"/>
      <c r="B102" s="240" t="str">
        <f>"Buchung BK "&amp;'B-BK'!C97</f>
        <v>Buchung BK 57</v>
      </c>
      <c r="C102" s="270" t="str">
        <f>'H-BK'!K97</f>
        <v>SALDO</v>
      </c>
      <c r="D102" s="263" t="str">
        <f>IF('H-BK'!D97="","",'H-BK'!D97)</f>
        <v xml:space="preserve"> 31510: AB, 31.12., SALDO, 7 964,-, xxxx</v>
      </c>
      <c r="E102" s="264" t="s">
        <v>154</v>
      </c>
      <c r="F102" s="264"/>
      <c r="G102" s="238"/>
      <c r="H102" s="265" t="str">
        <f t="shared" si="14"/>
        <v/>
      </c>
      <c r="I102" s="261" t="str">
        <f t="shared" si="9"/>
        <v>Fehlt</v>
      </c>
      <c r="J102" s="266">
        <f t="shared" si="15"/>
        <v>0</v>
      </c>
      <c r="K102" s="258" t="s">
        <v>155</v>
      </c>
      <c r="L102" s="258">
        <f t="shared" si="16"/>
        <v>1</v>
      </c>
      <c r="M102" s="386" t="str">
        <f t="shared" si="17"/>
        <v>│ 31510: AB, 31.12., SALDO, 7 964,-, xxxx│                         │----------│</v>
      </c>
      <c r="N102" s="259" t="str">
        <f t="shared" si="13"/>
        <v>x</v>
      </c>
    </row>
    <row r="103" spans="1:14" ht="12.75" customHeight="1" x14ac:dyDescent="0.25">
      <c r="A103" s="238"/>
      <c r="B103" s="240" t="str">
        <f>"Buchung BK "&amp;'B-BK'!C98</f>
        <v>Buchung BK 58</v>
      </c>
      <c r="C103" s="270" t="str">
        <f>'H-BK'!K98</f>
        <v>Summe</v>
      </c>
      <c r="D103" s="263" t="str">
        <f>IF('H-BK'!D98="","",'H-BK'!D98)</f>
        <v xml:space="preserve"> 31510: Summe, 9 303,-, 9 303,-</v>
      </c>
      <c r="E103" s="264" t="s">
        <v>154</v>
      </c>
      <c r="F103" s="264"/>
      <c r="G103" s="238"/>
      <c r="H103" s="265" t="str">
        <f t="shared" si="14"/>
        <v/>
      </c>
      <c r="I103" s="261" t="str">
        <f t="shared" si="9"/>
        <v>Fehlt</v>
      </c>
      <c r="J103" s="266">
        <f t="shared" si="15"/>
        <v>0</v>
      </c>
      <c r="K103" s="258" t="s">
        <v>155</v>
      </c>
      <c r="L103" s="258">
        <f t="shared" si="16"/>
        <v>1</v>
      </c>
      <c r="M103" s="386" t="str">
        <f t="shared" si="17"/>
        <v>│ 31510: Summe, 9 303,-, 9 303,-│                         │----------│</v>
      </c>
      <c r="N103" s="259" t="str">
        <f t="shared" si="13"/>
        <v>x</v>
      </c>
    </row>
    <row r="104" spans="1:14" ht="12.75" customHeight="1" x14ac:dyDescent="0.25">
      <c r="A104" s="238"/>
      <c r="B104" s="240" t="str">
        <f>"Buchung BK "&amp;'B-BK'!C99</f>
        <v>Buchung BK 59</v>
      </c>
      <c r="C104" s="270" t="str">
        <f>'H-BK'!K99</f>
        <v>AB Ve</v>
      </c>
      <c r="D104" s="263" t="str">
        <f>IF('H-BK'!D99="","",'H-BK'!D99)</f>
        <v xml:space="preserve"> 330001: EB, 01.01., AB Verbindlichkeiten Maschinenring Imst, xxxx, 4 992,-</v>
      </c>
      <c r="E104" s="264" t="s">
        <v>154</v>
      </c>
      <c r="F104" s="264"/>
      <c r="G104" s="238"/>
      <c r="H104" s="265" t="str">
        <f t="shared" si="14"/>
        <v/>
      </c>
      <c r="I104" s="261" t="str">
        <f t="shared" si="9"/>
        <v>Fehlt</v>
      </c>
      <c r="J104" s="266">
        <f t="shared" si="15"/>
        <v>0</v>
      </c>
      <c r="K104" s="258" t="s">
        <v>155</v>
      </c>
      <c r="L104" s="258">
        <f t="shared" si="16"/>
        <v>1</v>
      </c>
      <c r="M104" s="386" t="str">
        <f t="shared" si="17"/>
        <v>│ 330001: EB, 01.01., AB Verbindlichkeiten Maschinenring Imst, xxxx, 4 992,-│                         │----------│</v>
      </c>
      <c r="N104" s="259" t="str">
        <f t="shared" si="13"/>
        <v>x</v>
      </c>
    </row>
    <row r="105" spans="1:14" ht="12.75" customHeight="1" x14ac:dyDescent="0.25">
      <c r="A105" s="238"/>
      <c r="B105" s="240" t="str">
        <f>"Buchung BK "&amp;'B-BK'!C100</f>
        <v>Buchung BK 60</v>
      </c>
      <c r="C105" s="270" t="str">
        <f>'H-BK'!K100</f>
        <v>Zahlu</v>
      </c>
      <c r="D105" s="263" t="str">
        <f>IF('H-BK'!D100="","",'H-BK'!D100)</f>
        <v xml:space="preserve"> 330001: B1, 10.01., Zahlung MR-Rechnung Vorjahr, 4 992,-, xxxx</v>
      </c>
      <c r="E105" s="264" t="s">
        <v>154</v>
      </c>
      <c r="F105" s="264"/>
      <c r="G105" s="238"/>
      <c r="H105" s="265" t="str">
        <f t="shared" si="14"/>
        <v/>
      </c>
      <c r="I105" s="261" t="str">
        <f t="shared" si="9"/>
        <v>Fehlt</v>
      </c>
      <c r="J105" s="266">
        <f t="shared" si="15"/>
        <v>0</v>
      </c>
      <c r="K105" s="258" t="s">
        <v>155</v>
      </c>
      <c r="L105" s="258">
        <f t="shared" si="16"/>
        <v>1</v>
      </c>
      <c r="M105" s="386" t="str">
        <f t="shared" si="17"/>
        <v>│ 330001: B1, 10.01., Zahlung MR-Rechnung Vorjahr, 4 992,-, xxxx│                         │----------│</v>
      </c>
      <c r="N105" s="259" t="str">
        <f t="shared" si="13"/>
        <v>x</v>
      </c>
    </row>
    <row r="106" spans="1:14" ht="12.75" hidden="1" customHeight="1" x14ac:dyDescent="0.25">
      <c r="A106" s="238"/>
      <c r="B106" s="240" t="str">
        <f>"Buchung BK "&amp;'B-BK'!C101</f>
        <v>Buchung BK 61</v>
      </c>
      <c r="C106" s="270" t="str">
        <f>'H-BK'!K101</f>
        <v/>
      </c>
      <c r="D106" s="263" t="str">
        <f>IF('H-BK'!D101="","",'H-BK'!D101)</f>
        <v/>
      </c>
      <c r="E106" s="264" t="s">
        <v>154</v>
      </c>
      <c r="F106" s="264"/>
      <c r="G106" s="238"/>
      <c r="H106" s="265" t="str">
        <f t="shared" si="14"/>
        <v/>
      </c>
      <c r="I106" s="261" t="str">
        <f t="shared" si="9"/>
        <v/>
      </c>
      <c r="J106" s="266" t="str">
        <f t="shared" si="15"/>
        <v>-</v>
      </c>
      <c r="K106" s="258" t="s">
        <v>155</v>
      </c>
      <c r="L106" s="258" t="str">
        <f t="shared" si="16"/>
        <v>-</v>
      </c>
      <c r="M106" s="386" t="str">
        <f t="shared" si="17"/>
        <v>│----------│----------│</v>
      </c>
      <c r="N106" s="259" t="str">
        <f t="shared" si="13"/>
        <v>x</v>
      </c>
    </row>
    <row r="107" spans="1:14" ht="12.75" hidden="1" customHeight="1" x14ac:dyDescent="0.25">
      <c r="A107" s="238"/>
      <c r="B107" s="240" t="str">
        <f>"Buchung BK "&amp;'B-BK'!C102</f>
        <v>Buchung BK 62</v>
      </c>
      <c r="C107" s="270" t="str">
        <f>'H-BK'!K102</f>
        <v>SALDO</v>
      </c>
      <c r="D107" s="263" t="str">
        <f>IF('H-BK'!D102="","",'H-BK'!D102)</f>
        <v/>
      </c>
      <c r="E107" s="264" t="s">
        <v>154</v>
      </c>
      <c r="F107" s="264"/>
      <c r="G107" s="238"/>
      <c r="H107" s="265" t="str">
        <f t="shared" si="14"/>
        <v/>
      </c>
      <c r="I107" s="261" t="str">
        <f t="shared" si="9"/>
        <v/>
      </c>
      <c r="J107" s="266" t="str">
        <f t="shared" si="15"/>
        <v>-</v>
      </c>
      <c r="K107" s="258" t="s">
        <v>155</v>
      </c>
      <c r="L107" s="258" t="str">
        <f t="shared" si="16"/>
        <v>-</v>
      </c>
      <c r="M107" s="386" t="str">
        <f t="shared" si="17"/>
        <v>│----------│----------│</v>
      </c>
      <c r="N107" s="259" t="str">
        <f t="shared" si="13"/>
        <v>x</v>
      </c>
    </row>
    <row r="108" spans="1:14" ht="12.75" customHeight="1" x14ac:dyDescent="0.25">
      <c r="A108" s="238"/>
      <c r="B108" s="240" t="str">
        <f>"Buchung BK "&amp;'B-BK'!C103</f>
        <v>Buchung BK 63</v>
      </c>
      <c r="C108" s="270" t="str">
        <f>'H-BK'!K103</f>
        <v>Summe</v>
      </c>
      <c r="D108" s="263" t="str">
        <f>IF('H-BK'!D103="","",'H-BK'!D103)</f>
        <v xml:space="preserve"> 330001: Summe, 4 992,-, 4 992,-</v>
      </c>
      <c r="E108" s="264" t="s">
        <v>154</v>
      </c>
      <c r="F108" s="264"/>
      <c r="G108" s="238"/>
      <c r="H108" s="265" t="str">
        <f t="shared" si="14"/>
        <v/>
      </c>
      <c r="I108" s="261" t="str">
        <f t="shared" si="9"/>
        <v>Fehlt</v>
      </c>
      <c r="J108" s="266">
        <f t="shared" si="15"/>
        <v>0</v>
      </c>
      <c r="K108" s="258" t="s">
        <v>155</v>
      </c>
      <c r="L108" s="258">
        <f t="shared" si="16"/>
        <v>1</v>
      </c>
      <c r="M108" s="386" t="str">
        <f t="shared" si="17"/>
        <v>│ 330001: Summe, 4 992,-, 4 992,-│                         │----------│</v>
      </c>
      <c r="N108" s="259" t="str">
        <f t="shared" si="13"/>
        <v>x</v>
      </c>
    </row>
    <row r="109" spans="1:14" x14ac:dyDescent="0.25">
      <c r="A109" s="238"/>
      <c r="B109" s="268"/>
      <c r="C109" s="262" t="s">
        <v>154</v>
      </c>
      <c r="D109" s="269"/>
      <c r="E109" s="264"/>
      <c r="F109" s="264"/>
      <c r="G109" s="238"/>
      <c r="H109" s="238"/>
      <c r="I109" s="261"/>
      <c r="J109" s="261"/>
      <c r="K109" s="258"/>
      <c r="L109" s="258"/>
      <c r="M109" s="386"/>
      <c r="N109" s="259" t="str">
        <f t="shared" si="13"/>
        <v>x</v>
      </c>
    </row>
    <row r="110" spans="1:14" ht="12.75" customHeight="1" x14ac:dyDescent="0.25">
      <c r="A110" s="238"/>
      <c r="B110" s="260" t="s">
        <v>161</v>
      </c>
      <c r="C110" s="262" t="s">
        <v>154</v>
      </c>
      <c r="D110" s="255"/>
      <c r="E110" s="238"/>
      <c r="F110" s="238"/>
      <c r="G110" s="238"/>
      <c r="H110" s="241"/>
      <c r="I110" s="261"/>
      <c r="J110" s="267"/>
      <c r="K110" s="258"/>
      <c r="L110" s="258"/>
      <c r="M110" s="386"/>
      <c r="N110" s="259" t="str">
        <f t="shared" si="13"/>
        <v>x</v>
      </c>
    </row>
    <row r="111" spans="1:14" ht="12.75" customHeight="1" x14ac:dyDescent="0.25">
      <c r="A111" s="238"/>
      <c r="B111" s="240" t="str">
        <f>"Buchung EK "&amp;'B-EK'!B41</f>
        <v>Buchung EK 1</v>
      </c>
      <c r="C111" s="270" t="str">
        <f>'H-EK'!K41</f>
        <v>Zucht</v>
      </c>
      <c r="D111" s="263" t="str">
        <f>IF('H-EK'!D41="","",'H-EK'!D41)</f>
        <v xml:space="preserve"> 41400: Zuchtschafverkauf, xxxx, 674,-</v>
      </c>
      <c r="E111" s="264" t="s">
        <v>154</v>
      </c>
      <c r="F111" s="264"/>
      <c r="G111" s="238"/>
      <c r="H111" s="265" t="str">
        <f t="shared" ref="H111:H142" si="18">IF(OR(D111="",TYPE(VLOOKUP(MID(D111,1,FIND(": ",D111,1)-1)&amp;C111,B_EK,2,0))=16),"",VLOOKUP(MID(D111,1,FIND(": ",D111,1)-1)&amp;C111,B_EK,2,0))</f>
        <v/>
      </c>
      <c r="I111" s="261" t="str">
        <f>IF(AND(D111="",H111=""),"",IF(H111=D111,"Richtig!",IF(H111="","Fehlt","Falsch")))</f>
        <v>Fehlt</v>
      </c>
      <c r="J111" s="266">
        <f t="shared" ref="J111:J142" si="19">IF(OR($N46&lt;&gt;"x",AND(D111="",H111="")),"-",IF(I111="Richtig!",1,IF(I111="Formel: OK",0.5,IF(OR(I111="Falsch",I111="Fehlt"),0,""))))</f>
        <v>0</v>
      </c>
      <c r="K111" s="258" t="s">
        <v>155</v>
      </c>
      <c r="L111" s="258">
        <f t="shared" ref="L111:L142" si="20">IF(OR($N46&lt;&gt;"x",AND(D111="",H111="")),"-",1)</f>
        <v>1</v>
      </c>
      <c r="M111" s="386" t="str">
        <f t="shared" ref="M111:M142" si="21">IF(D111="","│----------│","│"&amp;D111&amp;"│                         │")&amp;IF(H111="","----------│",H111&amp;"│")</f>
        <v>│ 41400: Zuchtschafverkauf, xxxx, 674,-│                         │----------│</v>
      </c>
      <c r="N111" s="259" t="str">
        <f t="shared" si="13"/>
        <v>x</v>
      </c>
    </row>
    <row r="112" spans="1:14" ht="12.75" customHeight="1" x14ac:dyDescent="0.25">
      <c r="A112" s="238"/>
      <c r="B112" s="240" t="str">
        <f>"Buchung EK "&amp;'B-EK'!B42</f>
        <v>Buchung EK 2</v>
      </c>
      <c r="C112" s="270" t="str">
        <f>'H-EK'!K42</f>
        <v>Milch</v>
      </c>
      <c r="D112" s="263" t="str">
        <f>IF('H-EK'!D42="","",'H-EK'!D42)</f>
        <v xml:space="preserve"> 41400: Milchgeld (Schafmilch, Sammelbeleg), xxxx, 3 535,-</v>
      </c>
      <c r="E112" s="264" t="s">
        <v>154</v>
      </c>
      <c r="F112" s="264"/>
      <c r="G112" s="238"/>
      <c r="H112" s="265" t="str">
        <f t="shared" si="18"/>
        <v/>
      </c>
      <c r="I112" s="261" t="str">
        <f t="shared" ref="I112:I173" si="22">IF(AND(D112="",H112=""),"",IF(H112=D112,"Richtig!",IF(H112="","Fehlt","Falsch")))</f>
        <v>Fehlt</v>
      </c>
      <c r="J112" s="266">
        <f t="shared" si="19"/>
        <v>0</v>
      </c>
      <c r="K112" s="258" t="s">
        <v>155</v>
      </c>
      <c r="L112" s="258">
        <f t="shared" si="20"/>
        <v>1</v>
      </c>
      <c r="M112" s="386" t="str">
        <f t="shared" si="21"/>
        <v>│ 41400: Milchgeld (Schafmilch, Sammelbeleg), xxxx, 3 535,-│                         │----------│</v>
      </c>
      <c r="N112" s="259" t="str">
        <f t="shared" si="13"/>
        <v>x</v>
      </c>
    </row>
    <row r="113" spans="1:14" ht="12.75" customHeight="1" x14ac:dyDescent="0.25">
      <c r="A113" s="238"/>
      <c r="B113" s="240" t="str">
        <f>"Buchung EK "&amp;'B-EK'!B43</f>
        <v>Buchung EK 3</v>
      </c>
      <c r="C113" s="270" t="str">
        <f>'H-EK'!K43</f>
        <v>Eigen</v>
      </c>
      <c r="D113" s="263" t="str">
        <f>IF('H-EK'!D43="","",'H-EK'!D43)</f>
        <v xml:space="preserve"> 41400: Eigenverbrauch Schafmilchprodukte, xxxx, 1 499,-</v>
      </c>
      <c r="E113" s="264" t="s">
        <v>154</v>
      </c>
      <c r="F113" s="264"/>
      <c r="G113" s="238"/>
      <c r="H113" s="265" t="str">
        <f t="shared" si="18"/>
        <v/>
      </c>
      <c r="I113" s="261" t="str">
        <f t="shared" si="22"/>
        <v>Fehlt</v>
      </c>
      <c r="J113" s="266">
        <f t="shared" si="19"/>
        <v>0</v>
      </c>
      <c r="K113" s="258" t="s">
        <v>155</v>
      </c>
      <c r="L113" s="258">
        <f t="shared" si="20"/>
        <v>1</v>
      </c>
      <c r="M113" s="386" t="str">
        <f t="shared" si="21"/>
        <v>│ 41400: Eigenverbrauch Schafmilchprodukte, xxxx, 1 499,-│                         │----------│</v>
      </c>
      <c r="N113" s="259" t="str">
        <f t="shared" si="13"/>
        <v>x</v>
      </c>
    </row>
    <row r="114" spans="1:14" ht="12.75" customHeight="1" x14ac:dyDescent="0.25">
      <c r="A114" s="238"/>
      <c r="B114" s="240" t="str">
        <f>"Buchung EK "&amp;'B-EK'!B44</f>
        <v>Buchung EK 4</v>
      </c>
      <c r="C114" s="270" t="str">
        <f>'H-EK'!K44</f>
        <v>Mehrw</v>
      </c>
      <c r="D114" s="263" t="str">
        <f>IF('H-EK'!D44="","",'H-EK'!D44)</f>
        <v xml:space="preserve"> 41400: Mehrwert Schafe, xxxx, 503,-</v>
      </c>
      <c r="E114" s="264" t="s">
        <v>154</v>
      </c>
      <c r="F114" s="264"/>
      <c r="G114" s="238"/>
      <c r="H114" s="265" t="str">
        <f t="shared" si="18"/>
        <v/>
      </c>
      <c r="I114" s="261" t="str">
        <f t="shared" si="22"/>
        <v>Fehlt</v>
      </c>
      <c r="J114" s="266">
        <f t="shared" si="19"/>
        <v>0</v>
      </c>
      <c r="K114" s="258" t="s">
        <v>155</v>
      </c>
      <c r="L114" s="258">
        <f t="shared" si="20"/>
        <v>1</v>
      </c>
      <c r="M114" s="386" t="str">
        <f t="shared" si="21"/>
        <v>│ 41400: Mehrwert Schafe, xxxx, 503,-│                         │----------│</v>
      </c>
      <c r="N114" s="259" t="str">
        <f t="shared" si="13"/>
        <v>x</v>
      </c>
    </row>
    <row r="115" spans="1:14" ht="12.75" customHeight="1" x14ac:dyDescent="0.25">
      <c r="A115" s="238"/>
      <c r="B115" s="240" t="str">
        <f>"Buchung EK "&amp;'B-EK'!B45</f>
        <v>Buchung EK 5</v>
      </c>
      <c r="C115" s="270" t="str">
        <f>'H-EK'!K45</f>
        <v>Minde</v>
      </c>
      <c r="D115" s="263" t="str">
        <f>IF('H-EK'!D45="","",'H-EK'!D45)</f>
        <v xml:space="preserve"> 41400: Minderwert se. Vorr. (Schafskäse), 1 042,-, xxxx</v>
      </c>
      <c r="E115" s="264" t="s">
        <v>154</v>
      </c>
      <c r="F115" s="264"/>
      <c r="G115" s="238"/>
      <c r="H115" s="265" t="str">
        <f t="shared" si="18"/>
        <v/>
      </c>
      <c r="I115" s="261" t="str">
        <f t="shared" si="22"/>
        <v>Fehlt</v>
      </c>
      <c r="J115" s="266">
        <f t="shared" si="19"/>
        <v>0</v>
      </c>
      <c r="K115" s="258" t="s">
        <v>155</v>
      </c>
      <c r="L115" s="258">
        <f t="shared" si="20"/>
        <v>1</v>
      </c>
      <c r="M115" s="386" t="str">
        <f t="shared" si="21"/>
        <v>│ 41400: Minderwert se. Vorr. (Schafskäse), 1 042,-, xxxx│                         │----------│</v>
      </c>
      <c r="N115" s="259" t="str">
        <f t="shared" si="13"/>
        <v>x</v>
      </c>
    </row>
    <row r="116" spans="1:14" ht="12.75" hidden="1" customHeight="1" x14ac:dyDescent="0.25">
      <c r="A116" s="238"/>
      <c r="B116" s="240" t="str">
        <f>"Buchung EK "&amp;'B-EK'!B46</f>
        <v>Buchung EK 6</v>
      </c>
      <c r="C116" s="270" t="str">
        <f>'H-EK'!K46</f>
        <v/>
      </c>
      <c r="D116" s="263" t="str">
        <f>IF('H-EK'!D46="","",'H-EK'!D46)</f>
        <v/>
      </c>
      <c r="E116" s="264" t="s">
        <v>154</v>
      </c>
      <c r="F116" s="264"/>
      <c r="G116" s="238"/>
      <c r="H116" s="265" t="str">
        <f t="shared" si="18"/>
        <v/>
      </c>
      <c r="I116" s="261" t="str">
        <f t="shared" si="22"/>
        <v/>
      </c>
      <c r="J116" s="266" t="str">
        <f t="shared" si="19"/>
        <v>-</v>
      </c>
      <c r="K116" s="258" t="s">
        <v>155</v>
      </c>
      <c r="L116" s="258" t="str">
        <f t="shared" si="20"/>
        <v>-</v>
      </c>
      <c r="M116" s="386" t="str">
        <f t="shared" si="21"/>
        <v>│----------│----------│</v>
      </c>
      <c r="N116" s="259" t="str">
        <f t="shared" si="13"/>
        <v>x</v>
      </c>
    </row>
    <row r="117" spans="1:14" ht="12.75" hidden="1" customHeight="1" x14ac:dyDescent="0.25">
      <c r="A117" s="238"/>
      <c r="B117" s="240" t="str">
        <f>"Buchung EK "&amp;'B-EK'!B47</f>
        <v>Buchung EK 7</v>
      </c>
      <c r="C117" s="270" t="str">
        <f>'H-EK'!K47</f>
        <v/>
      </c>
      <c r="D117" s="263" t="str">
        <f>IF('H-EK'!D47="","",'H-EK'!D47)</f>
        <v/>
      </c>
      <c r="E117" s="264" t="s">
        <v>154</v>
      </c>
      <c r="F117" s="264"/>
      <c r="G117" s="238"/>
      <c r="H117" s="265" t="str">
        <f t="shared" si="18"/>
        <v/>
      </c>
      <c r="I117" s="261" t="str">
        <f t="shared" si="22"/>
        <v/>
      </c>
      <c r="J117" s="266" t="str">
        <f t="shared" si="19"/>
        <v>-</v>
      </c>
      <c r="K117" s="258" t="s">
        <v>155</v>
      </c>
      <c r="L117" s="258" t="str">
        <f t="shared" si="20"/>
        <v>-</v>
      </c>
      <c r="M117" s="386" t="str">
        <f t="shared" si="21"/>
        <v>│----------│----------│</v>
      </c>
      <c r="N117" s="259" t="str">
        <f t="shared" si="13"/>
        <v>x</v>
      </c>
    </row>
    <row r="118" spans="1:14" ht="12.75" hidden="1" customHeight="1" x14ac:dyDescent="0.25">
      <c r="A118" s="238"/>
      <c r="B118" s="240" t="str">
        <f>"Buchung EK "&amp;'B-EK'!B48</f>
        <v>Buchung EK 8</v>
      </c>
      <c r="C118" s="270" t="str">
        <f>'H-EK'!K48</f>
        <v/>
      </c>
      <c r="D118" s="263" t="str">
        <f>IF('H-EK'!D48="","",'H-EK'!D48)</f>
        <v/>
      </c>
      <c r="E118" s="264" t="s">
        <v>154</v>
      </c>
      <c r="F118" s="264"/>
      <c r="G118" s="238"/>
      <c r="H118" s="265" t="str">
        <f t="shared" si="18"/>
        <v/>
      </c>
      <c r="I118" s="261" t="str">
        <f t="shared" si="22"/>
        <v/>
      </c>
      <c r="J118" s="266" t="str">
        <f t="shared" si="19"/>
        <v>-</v>
      </c>
      <c r="K118" s="258" t="s">
        <v>155</v>
      </c>
      <c r="L118" s="258" t="str">
        <f t="shared" si="20"/>
        <v>-</v>
      </c>
      <c r="M118" s="386" t="str">
        <f t="shared" si="21"/>
        <v>│----------│----------│</v>
      </c>
      <c r="N118" s="259" t="str">
        <f t="shared" si="13"/>
        <v>x</v>
      </c>
    </row>
    <row r="119" spans="1:14" ht="12.75" hidden="1" customHeight="1" x14ac:dyDescent="0.25">
      <c r="A119" s="238"/>
      <c r="B119" s="240" t="str">
        <f>"Buchung EK "&amp;'B-EK'!B49</f>
        <v>Buchung EK 9</v>
      </c>
      <c r="C119" s="270" t="str">
        <f>'H-EK'!K49</f>
        <v/>
      </c>
      <c r="D119" s="263" t="str">
        <f>IF('H-EK'!D49="","",'H-EK'!D49)</f>
        <v/>
      </c>
      <c r="E119" s="264" t="s">
        <v>154</v>
      </c>
      <c r="F119" s="264"/>
      <c r="G119" s="238"/>
      <c r="H119" s="265" t="str">
        <f t="shared" si="18"/>
        <v/>
      </c>
      <c r="I119" s="261" t="str">
        <f t="shared" si="22"/>
        <v/>
      </c>
      <c r="J119" s="266" t="str">
        <f t="shared" si="19"/>
        <v>-</v>
      </c>
      <c r="K119" s="258" t="s">
        <v>155</v>
      </c>
      <c r="L119" s="258" t="str">
        <f t="shared" si="20"/>
        <v>-</v>
      </c>
      <c r="M119" s="386" t="str">
        <f t="shared" si="21"/>
        <v>│----------│----------│</v>
      </c>
      <c r="N119" s="259" t="str">
        <f t="shared" si="13"/>
        <v>x</v>
      </c>
    </row>
    <row r="120" spans="1:14" ht="12.75" hidden="1" customHeight="1" x14ac:dyDescent="0.25">
      <c r="A120" s="238"/>
      <c r="B120" s="240" t="str">
        <f>"Buchung EK "&amp;'B-EK'!B50</f>
        <v>Buchung EK 10</v>
      </c>
      <c r="C120" s="270" t="str">
        <f>'H-EK'!K50</f>
        <v/>
      </c>
      <c r="D120" s="263" t="str">
        <f>IF('H-EK'!D50="","",'H-EK'!D50)</f>
        <v/>
      </c>
      <c r="E120" s="264" t="s">
        <v>154</v>
      </c>
      <c r="F120" s="264"/>
      <c r="G120" s="238"/>
      <c r="H120" s="265" t="str">
        <f t="shared" si="18"/>
        <v/>
      </c>
      <c r="I120" s="261" t="str">
        <f t="shared" si="22"/>
        <v/>
      </c>
      <c r="J120" s="266" t="str">
        <f t="shared" si="19"/>
        <v>-</v>
      </c>
      <c r="K120" s="258" t="s">
        <v>155</v>
      </c>
      <c r="L120" s="258" t="str">
        <f t="shared" si="20"/>
        <v>-</v>
      </c>
      <c r="M120" s="386" t="str">
        <f t="shared" si="21"/>
        <v>│----------│----------│</v>
      </c>
      <c r="N120" s="259" t="str">
        <f t="shared" si="13"/>
        <v>x</v>
      </c>
    </row>
    <row r="121" spans="1:14" ht="12.75" hidden="1" customHeight="1" x14ac:dyDescent="0.25">
      <c r="A121" s="238"/>
      <c r="B121" s="240" t="str">
        <f>"Buchung EK "&amp;'B-EK'!B51</f>
        <v>Buchung EK 11</v>
      </c>
      <c r="C121" s="270" t="str">
        <f>'H-EK'!K51</f>
        <v/>
      </c>
      <c r="D121" s="263" t="str">
        <f>IF('H-EK'!D51="","",'H-EK'!D51)</f>
        <v/>
      </c>
      <c r="E121" s="264" t="s">
        <v>154</v>
      </c>
      <c r="F121" s="264"/>
      <c r="G121" s="238"/>
      <c r="H121" s="265" t="str">
        <f t="shared" si="18"/>
        <v/>
      </c>
      <c r="I121" s="261" t="str">
        <f t="shared" si="22"/>
        <v/>
      </c>
      <c r="J121" s="266" t="str">
        <f t="shared" si="19"/>
        <v>-</v>
      </c>
      <c r="K121" s="258" t="s">
        <v>155</v>
      </c>
      <c r="L121" s="258" t="str">
        <f t="shared" si="20"/>
        <v>-</v>
      </c>
      <c r="M121" s="386" t="str">
        <f t="shared" si="21"/>
        <v>│----------│----------│</v>
      </c>
      <c r="N121" s="259" t="str">
        <f t="shared" si="13"/>
        <v>x</v>
      </c>
    </row>
    <row r="122" spans="1:14" ht="12.75" customHeight="1" x14ac:dyDescent="0.25">
      <c r="A122" s="238"/>
      <c r="B122" s="240" t="str">
        <f>"Buchung EK "&amp;'B-EK'!B52</f>
        <v>Buchung EK 12</v>
      </c>
      <c r="C122" s="270" t="str">
        <f>'H-EK'!K52</f>
        <v>SALDO</v>
      </c>
      <c r="D122" s="263" t="str">
        <f>IF('H-EK'!D52="","",'H-EK'!D52)</f>
        <v xml:space="preserve"> 41400: SALDO, 5 169,-, xxxx</v>
      </c>
      <c r="E122" s="264" t="s">
        <v>154</v>
      </c>
      <c r="F122" s="264"/>
      <c r="G122" s="238"/>
      <c r="H122" s="265" t="str">
        <f t="shared" si="18"/>
        <v/>
      </c>
      <c r="I122" s="261" t="str">
        <f t="shared" si="22"/>
        <v>Fehlt</v>
      </c>
      <c r="J122" s="266">
        <f t="shared" si="19"/>
        <v>0</v>
      </c>
      <c r="K122" s="258" t="s">
        <v>155</v>
      </c>
      <c r="L122" s="258">
        <f t="shared" si="20"/>
        <v>1</v>
      </c>
      <c r="M122" s="386" t="str">
        <f t="shared" si="21"/>
        <v>│ 41400: SALDO, 5 169,-, xxxx│                         │----------│</v>
      </c>
      <c r="N122" s="259" t="str">
        <f t="shared" si="13"/>
        <v>x</v>
      </c>
    </row>
    <row r="123" spans="1:14" ht="12.75" customHeight="1" x14ac:dyDescent="0.25">
      <c r="A123" s="238"/>
      <c r="B123" s="240" t="str">
        <f>"Buchung EK "&amp;'B-EK'!B53</f>
        <v>Buchung EK 13</v>
      </c>
      <c r="C123" s="270" t="str">
        <f>'H-EK'!K53</f>
        <v>Summe</v>
      </c>
      <c r="D123" s="263" t="str">
        <f>IF('H-EK'!D53="","",'H-EK'!D53)</f>
        <v xml:space="preserve"> 41400: Summe, 6 211,-, 6 211,-</v>
      </c>
      <c r="E123" s="264" t="s">
        <v>154</v>
      </c>
      <c r="F123" s="264"/>
      <c r="G123" s="238"/>
      <c r="H123" s="265" t="str">
        <f t="shared" si="18"/>
        <v/>
      </c>
      <c r="I123" s="261" t="str">
        <f t="shared" si="22"/>
        <v>Fehlt</v>
      </c>
      <c r="J123" s="266">
        <f t="shared" si="19"/>
        <v>0</v>
      </c>
      <c r="K123" s="258" t="s">
        <v>155</v>
      </c>
      <c r="L123" s="258">
        <f t="shared" si="20"/>
        <v>1</v>
      </c>
      <c r="M123" s="386" t="str">
        <f t="shared" si="21"/>
        <v>│ 41400: Summe, 6 211,-, 6 211,-│                         │----------│</v>
      </c>
      <c r="N123" s="259" t="str">
        <f t="shared" si="13"/>
        <v>x</v>
      </c>
    </row>
    <row r="124" spans="1:14" ht="12.75" hidden="1" customHeight="1" x14ac:dyDescent="0.25">
      <c r="A124" s="238"/>
      <c r="B124" s="240" t="str">
        <f>"Buchung EK "&amp;'B-EK'!B54</f>
        <v>Buchung EK 14</v>
      </c>
      <c r="C124" s="270" t="str">
        <f>'H-EK'!K54</f>
        <v/>
      </c>
      <c r="D124" s="263" t="str">
        <f>IF('H-EK'!D54="","",'H-EK'!D54)</f>
        <v/>
      </c>
      <c r="E124" s="264" t="s">
        <v>154</v>
      </c>
      <c r="F124" s="264"/>
      <c r="G124" s="238"/>
      <c r="H124" s="265" t="str">
        <f t="shared" si="18"/>
        <v/>
      </c>
      <c r="I124" s="261" t="str">
        <f t="shared" si="22"/>
        <v/>
      </c>
      <c r="J124" s="266" t="str">
        <f t="shared" si="19"/>
        <v>-</v>
      </c>
      <c r="K124" s="258" t="s">
        <v>155</v>
      </c>
      <c r="L124" s="258" t="str">
        <f t="shared" si="20"/>
        <v>-</v>
      </c>
      <c r="M124" s="386" t="str">
        <f t="shared" si="21"/>
        <v>│----------│----------│</v>
      </c>
      <c r="N124" s="259" t="str">
        <f t="shared" si="13"/>
        <v>x</v>
      </c>
    </row>
    <row r="125" spans="1:14" ht="12.75" hidden="1" customHeight="1" x14ac:dyDescent="0.25">
      <c r="A125" s="238"/>
      <c r="B125" s="240" t="str">
        <f>"Buchung EK "&amp;'B-EK'!B55</f>
        <v>Buchung EK 15</v>
      </c>
      <c r="C125" s="270" t="str">
        <f>'H-EK'!K55</f>
        <v/>
      </c>
      <c r="D125" s="263" t="str">
        <f>IF('H-EK'!D55="","",'H-EK'!D55)</f>
        <v/>
      </c>
      <c r="E125" s="264" t="s">
        <v>154</v>
      </c>
      <c r="F125" s="264"/>
      <c r="G125" s="238"/>
      <c r="H125" s="265" t="str">
        <f t="shared" si="18"/>
        <v/>
      </c>
      <c r="I125" s="261" t="str">
        <f t="shared" si="22"/>
        <v/>
      </c>
      <c r="J125" s="266" t="str">
        <f t="shared" si="19"/>
        <v>-</v>
      </c>
      <c r="K125" s="258" t="s">
        <v>155</v>
      </c>
      <c r="L125" s="258" t="str">
        <f t="shared" si="20"/>
        <v>-</v>
      </c>
      <c r="M125" s="386" t="str">
        <f t="shared" si="21"/>
        <v>│----------│----------│</v>
      </c>
      <c r="N125" s="259" t="str">
        <f t="shared" si="13"/>
        <v>x</v>
      </c>
    </row>
    <row r="126" spans="1:14" ht="12.75" hidden="1" customHeight="1" x14ac:dyDescent="0.25">
      <c r="A126" s="238"/>
      <c r="B126" s="240" t="str">
        <f>"Buchung EK "&amp;'B-EK'!B56</f>
        <v>Buchung EK 16</v>
      </c>
      <c r="C126" s="270" t="str">
        <f>'H-EK'!K56</f>
        <v/>
      </c>
      <c r="D126" s="263" t="str">
        <f>IF('H-EK'!D56="","",'H-EK'!D56)</f>
        <v/>
      </c>
      <c r="E126" s="264" t="s">
        <v>154</v>
      </c>
      <c r="F126" s="264"/>
      <c r="G126" s="238"/>
      <c r="H126" s="265" t="str">
        <f t="shared" si="18"/>
        <v/>
      </c>
      <c r="I126" s="261" t="str">
        <f t="shared" si="22"/>
        <v/>
      </c>
      <c r="J126" s="266" t="str">
        <f t="shared" si="19"/>
        <v>-</v>
      </c>
      <c r="K126" s="258" t="s">
        <v>155</v>
      </c>
      <c r="L126" s="258" t="str">
        <f t="shared" si="20"/>
        <v>-</v>
      </c>
      <c r="M126" s="386" t="str">
        <f t="shared" si="21"/>
        <v>│----------│----------│</v>
      </c>
      <c r="N126" s="259" t="str">
        <f t="shared" si="13"/>
        <v>x</v>
      </c>
    </row>
    <row r="127" spans="1:14" ht="12.75" hidden="1" customHeight="1" x14ac:dyDescent="0.25">
      <c r="A127" s="238"/>
      <c r="B127" s="240" t="str">
        <f>"Buchung EK "&amp;'B-EK'!B57</f>
        <v>Buchung EK 17</v>
      </c>
      <c r="C127" s="270" t="str">
        <f>'H-EK'!K57</f>
        <v>SALDO</v>
      </c>
      <c r="D127" s="263" t="str">
        <f>IF('H-EK'!D57="","",'H-EK'!D57)</f>
        <v/>
      </c>
      <c r="E127" s="264" t="s">
        <v>154</v>
      </c>
      <c r="F127" s="264"/>
      <c r="G127" s="238"/>
      <c r="H127" s="265" t="str">
        <f t="shared" si="18"/>
        <v/>
      </c>
      <c r="I127" s="261" t="str">
        <f t="shared" si="22"/>
        <v/>
      </c>
      <c r="J127" s="266" t="str">
        <f t="shared" si="19"/>
        <v>-</v>
      </c>
      <c r="K127" s="258" t="s">
        <v>155</v>
      </c>
      <c r="L127" s="258" t="str">
        <f t="shared" si="20"/>
        <v>-</v>
      </c>
      <c r="M127" s="386" t="str">
        <f t="shared" si="21"/>
        <v>│----------│----------│</v>
      </c>
      <c r="N127" s="259" t="str">
        <f t="shared" si="13"/>
        <v>x</v>
      </c>
    </row>
    <row r="128" spans="1:14" ht="12.75" hidden="1" customHeight="1" x14ac:dyDescent="0.25">
      <c r="A128" s="238"/>
      <c r="B128" s="240" t="str">
        <f>"Buchung EK "&amp;'B-EK'!B58</f>
        <v>Buchung EK 18</v>
      </c>
      <c r="C128" s="270" t="str">
        <f>'H-EK'!K58</f>
        <v>Summe</v>
      </c>
      <c r="D128" s="263" t="str">
        <f>IF('H-EK'!D58="","",'H-EK'!D58)</f>
        <v/>
      </c>
      <c r="E128" s="264" t="s">
        <v>154</v>
      </c>
      <c r="F128" s="264"/>
      <c r="G128" s="238"/>
      <c r="H128" s="265" t="str">
        <f t="shared" si="18"/>
        <v/>
      </c>
      <c r="I128" s="261" t="str">
        <f t="shared" si="22"/>
        <v/>
      </c>
      <c r="J128" s="266" t="str">
        <f t="shared" si="19"/>
        <v>-</v>
      </c>
      <c r="K128" s="258" t="s">
        <v>155</v>
      </c>
      <c r="L128" s="258" t="str">
        <f t="shared" si="20"/>
        <v>-</v>
      </c>
      <c r="M128" s="386" t="str">
        <f t="shared" si="21"/>
        <v>│----------│----------│</v>
      </c>
      <c r="N128" s="259" t="str">
        <f t="shared" si="13"/>
        <v>x</v>
      </c>
    </row>
    <row r="129" spans="1:14" ht="12.75" hidden="1" customHeight="1" x14ac:dyDescent="0.25">
      <c r="A129" s="238"/>
      <c r="B129" s="240" t="str">
        <f>"Buchung EK "&amp;'B-EK'!B59</f>
        <v>Buchung EK 19</v>
      </c>
      <c r="C129" s="270" t="str">
        <f>'H-EK'!K59</f>
        <v/>
      </c>
      <c r="D129" s="263" t="str">
        <f>IF('H-EK'!D59="","",'H-EK'!D59)</f>
        <v/>
      </c>
      <c r="E129" s="264" t="s">
        <v>154</v>
      </c>
      <c r="F129" s="264"/>
      <c r="G129" s="238"/>
      <c r="H129" s="265" t="str">
        <f t="shared" si="18"/>
        <v/>
      </c>
      <c r="I129" s="261" t="str">
        <f t="shared" si="22"/>
        <v/>
      </c>
      <c r="J129" s="266" t="str">
        <f t="shared" si="19"/>
        <v>-</v>
      </c>
      <c r="K129" s="258" t="s">
        <v>155</v>
      </c>
      <c r="L129" s="258" t="str">
        <f t="shared" si="20"/>
        <v>-</v>
      </c>
      <c r="M129" s="386" t="str">
        <f t="shared" si="21"/>
        <v>│----------│----------│</v>
      </c>
      <c r="N129" s="259" t="str">
        <f t="shared" si="13"/>
        <v>x</v>
      </c>
    </row>
    <row r="130" spans="1:14" ht="12.75" hidden="1" customHeight="1" x14ac:dyDescent="0.25">
      <c r="A130" s="238"/>
      <c r="B130" s="240" t="str">
        <f>"Buchung EK "&amp;'B-EK'!B60</f>
        <v>Buchung EK 20</v>
      </c>
      <c r="C130" s="270" t="str">
        <f>'H-EK'!K60</f>
        <v/>
      </c>
      <c r="D130" s="263" t="str">
        <f>IF('H-EK'!D60="","",'H-EK'!D60)</f>
        <v/>
      </c>
      <c r="E130" s="264" t="s">
        <v>154</v>
      </c>
      <c r="F130" s="264"/>
      <c r="G130" s="238"/>
      <c r="H130" s="265" t="str">
        <f t="shared" si="18"/>
        <v/>
      </c>
      <c r="I130" s="261" t="str">
        <f t="shared" si="22"/>
        <v/>
      </c>
      <c r="J130" s="266" t="str">
        <f t="shared" si="19"/>
        <v>-</v>
      </c>
      <c r="K130" s="258" t="s">
        <v>155</v>
      </c>
      <c r="L130" s="258" t="str">
        <f t="shared" si="20"/>
        <v>-</v>
      </c>
      <c r="M130" s="386" t="str">
        <f t="shared" si="21"/>
        <v>│----------│----------│</v>
      </c>
      <c r="N130" s="259" t="str">
        <f t="shared" si="13"/>
        <v>x</v>
      </c>
    </row>
    <row r="131" spans="1:14" ht="12.75" hidden="1" customHeight="1" x14ac:dyDescent="0.25">
      <c r="A131" s="238"/>
      <c r="B131" s="240" t="str">
        <f>"Buchung EK "&amp;'B-EK'!B61</f>
        <v>Buchung EK 21</v>
      </c>
      <c r="C131" s="270" t="str">
        <f>'H-EK'!K61</f>
        <v/>
      </c>
      <c r="D131" s="263" t="str">
        <f>IF('H-EK'!D61="","",'H-EK'!D61)</f>
        <v/>
      </c>
      <c r="E131" s="264" t="s">
        <v>154</v>
      </c>
      <c r="F131" s="264"/>
      <c r="G131" s="238"/>
      <c r="H131" s="265" t="str">
        <f t="shared" si="18"/>
        <v/>
      </c>
      <c r="I131" s="261" t="str">
        <f t="shared" si="22"/>
        <v/>
      </c>
      <c r="J131" s="266" t="str">
        <f t="shared" si="19"/>
        <v>-</v>
      </c>
      <c r="K131" s="258" t="s">
        <v>155</v>
      </c>
      <c r="L131" s="258" t="str">
        <f t="shared" si="20"/>
        <v>-</v>
      </c>
      <c r="M131" s="386" t="str">
        <f t="shared" si="21"/>
        <v>│----------│----------│</v>
      </c>
      <c r="N131" s="259" t="str">
        <f t="shared" si="13"/>
        <v>x</v>
      </c>
    </row>
    <row r="132" spans="1:14" ht="12.75" hidden="1" customHeight="1" x14ac:dyDescent="0.25">
      <c r="A132" s="238"/>
      <c r="B132" s="240" t="str">
        <f>"Buchung EK "&amp;'B-EK'!B62</f>
        <v>Buchung EK 22</v>
      </c>
      <c r="C132" s="270" t="str">
        <f>'H-EK'!K62</f>
        <v>SALDO</v>
      </c>
      <c r="D132" s="263" t="str">
        <f>IF('H-EK'!D62="","",'H-EK'!D62)</f>
        <v/>
      </c>
      <c r="E132" s="264" t="s">
        <v>154</v>
      </c>
      <c r="F132" s="264"/>
      <c r="G132" s="238"/>
      <c r="H132" s="265" t="str">
        <f t="shared" si="18"/>
        <v/>
      </c>
      <c r="I132" s="261" t="str">
        <f t="shared" si="22"/>
        <v/>
      </c>
      <c r="J132" s="266" t="str">
        <f t="shared" si="19"/>
        <v>-</v>
      </c>
      <c r="K132" s="258" t="s">
        <v>155</v>
      </c>
      <c r="L132" s="258" t="str">
        <f t="shared" si="20"/>
        <v>-</v>
      </c>
      <c r="M132" s="386" t="str">
        <f t="shared" si="21"/>
        <v>│----------│----------│</v>
      </c>
      <c r="N132" s="259" t="str">
        <f t="shared" si="13"/>
        <v>x</v>
      </c>
    </row>
    <row r="133" spans="1:14" ht="12.75" hidden="1" customHeight="1" x14ac:dyDescent="0.25">
      <c r="A133" s="238"/>
      <c r="B133" s="240" t="str">
        <f>"Buchung EK "&amp;'B-EK'!B63</f>
        <v>Buchung EK 23</v>
      </c>
      <c r="C133" s="270" t="str">
        <f>'H-EK'!K63</f>
        <v>Summe</v>
      </c>
      <c r="D133" s="263" t="str">
        <f>IF('H-EK'!D63="","",'H-EK'!D63)</f>
        <v/>
      </c>
      <c r="E133" s="264" t="s">
        <v>154</v>
      </c>
      <c r="F133" s="264"/>
      <c r="G133" s="238"/>
      <c r="H133" s="265" t="str">
        <f t="shared" si="18"/>
        <v/>
      </c>
      <c r="I133" s="261" t="str">
        <f t="shared" si="22"/>
        <v/>
      </c>
      <c r="J133" s="266" t="str">
        <f t="shared" si="19"/>
        <v>-</v>
      </c>
      <c r="K133" s="258" t="s">
        <v>155</v>
      </c>
      <c r="L133" s="258" t="str">
        <f t="shared" si="20"/>
        <v>-</v>
      </c>
      <c r="M133" s="386" t="str">
        <f t="shared" si="21"/>
        <v>│----------│----------│</v>
      </c>
      <c r="N133" s="259" t="str">
        <f t="shared" si="13"/>
        <v>x</v>
      </c>
    </row>
    <row r="134" spans="1:14" ht="12.75" hidden="1" customHeight="1" x14ac:dyDescent="0.25">
      <c r="A134" s="238"/>
      <c r="B134" s="240" t="str">
        <f>"Buchung EK "&amp;'B-EK'!B64</f>
        <v>Buchung EK 24</v>
      </c>
      <c r="C134" s="270" t="str">
        <f>'H-EK'!K64</f>
        <v/>
      </c>
      <c r="D134" s="263" t="str">
        <f>IF('H-EK'!D64="","",'H-EK'!D64)</f>
        <v/>
      </c>
      <c r="E134" s="264" t="s">
        <v>154</v>
      </c>
      <c r="F134" s="264"/>
      <c r="G134" s="238"/>
      <c r="H134" s="265" t="str">
        <f t="shared" si="18"/>
        <v/>
      </c>
      <c r="I134" s="261" t="str">
        <f t="shared" si="22"/>
        <v/>
      </c>
      <c r="J134" s="266" t="str">
        <f t="shared" si="19"/>
        <v>-</v>
      </c>
      <c r="K134" s="258" t="s">
        <v>155</v>
      </c>
      <c r="L134" s="258" t="str">
        <f t="shared" si="20"/>
        <v>-</v>
      </c>
      <c r="M134" s="386" t="str">
        <f t="shared" si="21"/>
        <v>│----------│----------│</v>
      </c>
      <c r="N134" s="259" t="str">
        <f t="shared" si="13"/>
        <v>x</v>
      </c>
    </row>
    <row r="135" spans="1:14" ht="12.75" hidden="1" customHeight="1" x14ac:dyDescent="0.25">
      <c r="A135" s="238"/>
      <c r="B135" s="240" t="str">
        <f>"Buchung EK "&amp;'B-EK'!B65</f>
        <v>Buchung EK 25</v>
      </c>
      <c r="C135" s="270" t="str">
        <f>'H-EK'!K65</f>
        <v/>
      </c>
      <c r="D135" s="263" t="str">
        <f>IF('H-EK'!D65="","",'H-EK'!D65)</f>
        <v/>
      </c>
      <c r="E135" s="264" t="s">
        <v>154</v>
      </c>
      <c r="F135" s="264"/>
      <c r="G135" s="238"/>
      <c r="H135" s="265" t="str">
        <f t="shared" si="18"/>
        <v/>
      </c>
      <c r="I135" s="261" t="str">
        <f t="shared" si="22"/>
        <v/>
      </c>
      <c r="J135" s="266" t="str">
        <f t="shared" si="19"/>
        <v>-</v>
      </c>
      <c r="K135" s="258" t="s">
        <v>155</v>
      </c>
      <c r="L135" s="258" t="str">
        <f t="shared" si="20"/>
        <v>-</v>
      </c>
      <c r="M135" s="386" t="str">
        <f t="shared" si="21"/>
        <v>│----------│----------│</v>
      </c>
      <c r="N135" s="259" t="str">
        <f t="shared" ref="N135:N198" si="23">IF($N$1="","",$N$1)</f>
        <v>x</v>
      </c>
    </row>
    <row r="136" spans="1:14" ht="12.75" hidden="1" customHeight="1" x14ac:dyDescent="0.25">
      <c r="A136" s="238"/>
      <c r="B136" s="240" t="str">
        <f>"Buchung EK "&amp;'B-EK'!B66</f>
        <v>Buchung EK 26</v>
      </c>
      <c r="C136" s="270" t="str">
        <f>'H-EK'!K66</f>
        <v/>
      </c>
      <c r="D136" s="263" t="str">
        <f>IF('H-EK'!D66="","",'H-EK'!D66)</f>
        <v/>
      </c>
      <c r="E136" s="264" t="s">
        <v>154</v>
      </c>
      <c r="F136" s="264"/>
      <c r="G136" s="238"/>
      <c r="H136" s="265" t="str">
        <f t="shared" si="18"/>
        <v/>
      </c>
      <c r="I136" s="261" t="str">
        <f t="shared" si="22"/>
        <v/>
      </c>
      <c r="J136" s="266" t="str">
        <f t="shared" si="19"/>
        <v>-</v>
      </c>
      <c r="K136" s="258" t="s">
        <v>155</v>
      </c>
      <c r="L136" s="258" t="str">
        <f t="shared" si="20"/>
        <v>-</v>
      </c>
      <c r="M136" s="386" t="str">
        <f t="shared" si="21"/>
        <v>│----------│----------│</v>
      </c>
      <c r="N136" s="259" t="str">
        <f t="shared" si="23"/>
        <v>x</v>
      </c>
    </row>
    <row r="137" spans="1:14" ht="12.75" hidden="1" customHeight="1" x14ac:dyDescent="0.25">
      <c r="A137" s="238"/>
      <c r="B137" s="240" t="str">
        <f>"Buchung EK "&amp;'B-EK'!B67</f>
        <v>Buchung EK 27</v>
      </c>
      <c r="C137" s="270" t="str">
        <f>'H-EK'!K67</f>
        <v>SALDO</v>
      </c>
      <c r="D137" s="263" t="str">
        <f>IF('H-EK'!D67="","",'H-EK'!D67)</f>
        <v/>
      </c>
      <c r="E137" s="264" t="s">
        <v>154</v>
      </c>
      <c r="F137" s="264"/>
      <c r="G137" s="238"/>
      <c r="H137" s="265" t="str">
        <f t="shared" si="18"/>
        <v/>
      </c>
      <c r="I137" s="261" t="str">
        <f t="shared" si="22"/>
        <v/>
      </c>
      <c r="J137" s="266" t="str">
        <f t="shared" si="19"/>
        <v>-</v>
      </c>
      <c r="K137" s="258" t="s">
        <v>155</v>
      </c>
      <c r="L137" s="258" t="str">
        <f t="shared" si="20"/>
        <v>-</v>
      </c>
      <c r="M137" s="386" t="str">
        <f t="shared" si="21"/>
        <v>│----------│----------│</v>
      </c>
      <c r="N137" s="259" t="str">
        <f t="shared" si="23"/>
        <v>x</v>
      </c>
    </row>
    <row r="138" spans="1:14" ht="12.75" hidden="1" customHeight="1" x14ac:dyDescent="0.25">
      <c r="A138" s="238"/>
      <c r="B138" s="240" t="str">
        <f>"Buchung EK "&amp;'B-EK'!B68</f>
        <v>Buchung EK 28</v>
      </c>
      <c r="C138" s="270" t="str">
        <f>'H-EK'!K68</f>
        <v>Summe</v>
      </c>
      <c r="D138" s="263" t="str">
        <f>IF('H-EK'!D68="","",'H-EK'!D68)</f>
        <v/>
      </c>
      <c r="E138" s="264" t="s">
        <v>154</v>
      </c>
      <c r="F138" s="264"/>
      <c r="G138" s="238"/>
      <c r="H138" s="265" t="str">
        <f t="shared" si="18"/>
        <v/>
      </c>
      <c r="I138" s="261" t="str">
        <f t="shared" si="22"/>
        <v/>
      </c>
      <c r="J138" s="266" t="str">
        <f t="shared" si="19"/>
        <v>-</v>
      </c>
      <c r="K138" s="258" t="s">
        <v>155</v>
      </c>
      <c r="L138" s="258" t="str">
        <f t="shared" si="20"/>
        <v>-</v>
      </c>
      <c r="M138" s="386" t="str">
        <f t="shared" si="21"/>
        <v>│----------│----------│</v>
      </c>
      <c r="N138" s="259" t="str">
        <f t="shared" si="23"/>
        <v>x</v>
      </c>
    </row>
    <row r="139" spans="1:14" ht="12.75" hidden="1" customHeight="1" x14ac:dyDescent="0.25">
      <c r="A139" s="238"/>
      <c r="B139" s="240" t="str">
        <f>"Buchung EK "&amp;'B-EK'!B69</f>
        <v>Buchung EK 29</v>
      </c>
      <c r="C139" s="270" t="str">
        <f>'H-EK'!K69</f>
        <v/>
      </c>
      <c r="D139" s="263" t="str">
        <f>IF('H-EK'!D69="","",'H-EK'!D69)</f>
        <v/>
      </c>
      <c r="E139" s="264" t="s">
        <v>154</v>
      </c>
      <c r="F139" s="264"/>
      <c r="G139" s="238"/>
      <c r="H139" s="265" t="str">
        <f t="shared" si="18"/>
        <v/>
      </c>
      <c r="I139" s="261" t="str">
        <f t="shared" si="22"/>
        <v/>
      </c>
      <c r="J139" s="266" t="str">
        <f t="shared" si="19"/>
        <v>-</v>
      </c>
      <c r="K139" s="258" t="s">
        <v>155</v>
      </c>
      <c r="L139" s="258" t="str">
        <f t="shared" si="20"/>
        <v>-</v>
      </c>
      <c r="M139" s="386" t="str">
        <f t="shared" si="21"/>
        <v>│----------│----------│</v>
      </c>
      <c r="N139" s="259" t="str">
        <f t="shared" si="23"/>
        <v>x</v>
      </c>
    </row>
    <row r="140" spans="1:14" ht="12.75" hidden="1" customHeight="1" x14ac:dyDescent="0.25">
      <c r="A140" s="238"/>
      <c r="B140" s="240" t="str">
        <f>"Buchung EK "&amp;'B-EK'!B70</f>
        <v>Buchung EK 30</v>
      </c>
      <c r="C140" s="270" t="str">
        <f>'H-EK'!K70</f>
        <v/>
      </c>
      <c r="D140" s="263" t="str">
        <f>IF('H-EK'!D70="","",'H-EK'!D70)</f>
        <v/>
      </c>
      <c r="E140" s="264" t="s">
        <v>154</v>
      </c>
      <c r="F140" s="264"/>
      <c r="G140" s="238"/>
      <c r="H140" s="265" t="str">
        <f t="shared" si="18"/>
        <v/>
      </c>
      <c r="I140" s="261" t="str">
        <f t="shared" si="22"/>
        <v/>
      </c>
      <c r="J140" s="266" t="str">
        <f t="shared" si="19"/>
        <v>-</v>
      </c>
      <c r="K140" s="258" t="s">
        <v>155</v>
      </c>
      <c r="L140" s="258" t="str">
        <f t="shared" si="20"/>
        <v>-</v>
      </c>
      <c r="M140" s="386" t="str">
        <f t="shared" si="21"/>
        <v>│----------│----------│</v>
      </c>
      <c r="N140" s="259" t="str">
        <f t="shared" si="23"/>
        <v>x</v>
      </c>
    </row>
    <row r="141" spans="1:14" ht="12.75" hidden="1" customHeight="1" x14ac:dyDescent="0.25">
      <c r="A141" s="238"/>
      <c r="B141" s="240" t="str">
        <f>"Buchung EK "&amp;'B-EK'!B71</f>
        <v>Buchung EK 31</v>
      </c>
      <c r="C141" s="270" t="str">
        <f>'H-EK'!K71</f>
        <v/>
      </c>
      <c r="D141" s="263" t="str">
        <f>IF('H-EK'!D71="","",'H-EK'!D71)</f>
        <v/>
      </c>
      <c r="E141" s="264" t="s">
        <v>154</v>
      </c>
      <c r="F141" s="264"/>
      <c r="G141" s="238"/>
      <c r="H141" s="265" t="str">
        <f t="shared" si="18"/>
        <v/>
      </c>
      <c r="I141" s="261" t="str">
        <f t="shared" si="22"/>
        <v/>
      </c>
      <c r="J141" s="266" t="str">
        <f t="shared" si="19"/>
        <v>-</v>
      </c>
      <c r="K141" s="258" t="s">
        <v>155</v>
      </c>
      <c r="L141" s="258" t="str">
        <f t="shared" si="20"/>
        <v>-</v>
      </c>
      <c r="M141" s="386" t="str">
        <f t="shared" si="21"/>
        <v>│----------│----------│</v>
      </c>
      <c r="N141" s="259" t="str">
        <f t="shared" si="23"/>
        <v>x</v>
      </c>
    </row>
    <row r="142" spans="1:14" ht="12.75" hidden="1" customHeight="1" x14ac:dyDescent="0.25">
      <c r="A142" s="238"/>
      <c r="B142" s="240" t="str">
        <f>"Buchung EK "&amp;'B-EK'!B72</f>
        <v>Buchung EK 32</v>
      </c>
      <c r="C142" s="270" t="str">
        <f>'H-EK'!K72</f>
        <v>SALDO</v>
      </c>
      <c r="D142" s="263" t="str">
        <f>IF('H-EK'!D72="","",'H-EK'!D72)</f>
        <v/>
      </c>
      <c r="E142" s="264" t="s">
        <v>154</v>
      </c>
      <c r="F142" s="264"/>
      <c r="G142" s="238"/>
      <c r="H142" s="265" t="str">
        <f t="shared" si="18"/>
        <v/>
      </c>
      <c r="I142" s="261" t="str">
        <f t="shared" si="22"/>
        <v/>
      </c>
      <c r="J142" s="266" t="str">
        <f t="shared" si="19"/>
        <v>-</v>
      </c>
      <c r="K142" s="258" t="s">
        <v>155</v>
      </c>
      <c r="L142" s="258" t="str">
        <f t="shared" si="20"/>
        <v>-</v>
      </c>
      <c r="M142" s="386" t="str">
        <f t="shared" si="21"/>
        <v>│----------│----------│</v>
      </c>
      <c r="N142" s="259" t="str">
        <f t="shared" si="23"/>
        <v>x</v>
      </c>
    </row>
    <row r="143" spans="1:14" ht="12.75" hidden="1" customHeight="1" x14ac:dyDescent="0.25">
      <c r="A143" s="238"/>
      <c r="B143" s="240" t="str">
        <f>"Buchung EK "&amp;'B-EK'!B73</f>
        <v>Buchung EK 33</v>
      </c>
      <c r="C143" s="270" t="str">
        <f>'H-EK'!K73</f>
        <v>Summe</v>
      </c>
      <c r="D143" s="263" t="str">
        <f>IF('H-EK'!D73="","",'H-EK'!D73)</f>
        <v/>
      </c>
      <c r="E143" s="264" t="s">
        <v>154</v>
      </c>
      <c r="F143" s="264"/>
      <c r="G143" s="238"/>
      <c r="H143" s="265" t="str">
        <f t="shared" ref="H143:H173" si="24">IF(OR(D143="",TYPE(VLOOKUP(MID(D143,1,FIND(": ",D143,1)-1)&amp;C143,B_EK,2,0))=16),"",VLOOKUP(MID(D143,1,FIND(": ",D143,1)-1)&amp;C143,B_EK,2,0))</f>
        <v/>
      </c>
      <c r="I143" s="261" t="str">
        <f t="shared" si="22"/>
        <v/>
      </c>
      <c r="J143" s="266" t="str">
        <f t="shared" ref="J143:J173" si="25">IF(OR($N78&lt;&gt;"x",AND(D143="",H143="")),"-",IF(I143="Richtig!",1,IF(I143="Formel: OK",0.5,IF(OR(I143="Falsch",I143="Fehlt"),0,""))))</f>
        <v>-</v>
      </c>
      <c r="K143" s="258" t="s">
        <v>155</v>
      </c>
      <c r="L143" s="258" t="str">
        <f t="shared" ref="L143:L173" si="26">IF(OR($N78&lt;&gt;"x",AND(D143="",H143="")),"-",1)</f>
        <v>-</v>
      </c>
      <c r="M143" s="386" t="str">
        <f t="shared" ref="M143:M173" si="27">IF(D143="","│----------│","│"&amp;D143&amp;"│                         │")&amp;IF(H143="","----------│",H143&amp;"│")</f>
        <v>│----------│----------│</v>
      </c>
      <c r="N143" s="259" t="str">
        <f t="shared" si="23"/>
        <v>x</v>
      </c>
    </row>
    <row r="144" spans="1:14" ht="12.75" customHeight="1" x14ac:dyDescent="0.25">
      <c r="A144" s="238"/>
      <c r="B144" s="240" t="str">
        <f>"Buchung EK "&amp;'B-EK'!B74</f>
        <v>Buchung EK 34</v>
      </c>
      <c r="C144" s="270" t="str">
        <f>'H-EK'!K74</f>
        <v>Treib</v>
      </c>
      <c r="D144" s="263" t="str">
        <f>IF('H-EK'!D74="","",'H-EK'!D74)</f>
        <v xml:space="preserve"> 56015: B2, 15.02., Treibstoffkauf, 432,-, xxxx</v>
      </c>
      <c r="E144" s="264" t="s">
        <v>154</v>
      </c>
      <c r="F144" s="264"/>
      <c r="G144" s="238"/>
      <c r="H144" s="265" t="str">
        <f t="shared" si="24"/>
        <v/>
      </c>
      <c r="I144" s="261" t="str">
        <f t="shared" si="22"/>
        <v>Fehlt</v>
      </c>
      <c r="J144" s="266">
        <f t="shared" si="25"/>
        <v>0</v>
      </c>
      <c r="K144" s="258" t="s">
        <v>155</v>
      </c>
      <c r="L144" s="258">
        <f t="shared" si="26"/>
        <v>1</v>
      </c>
      <c r="M144" s="386" t="str">
        <f t="shared" si="27"/>
        <v>│ 56015: B2, 15.02., Treibstoffkauf, 432,-, xxxx│                         │----------│</v>
      </c>
      <c r="N144" s="259" t="str">
        <f t="shared" si="23"/>
        <v>x</v>
      </c>
    </row>
    <row r="145" spans="1:14" ht="12.75" customHeight="1" x14ac:dyDescent="0.25">
      <c r="A145" s="238"/>
      <c r="B145" s="240" t="str">
        <f>"Buchung EK "&amp;'B-EK'!B75</f>
        <v>Buchung EK 35</v>
      </c>
      <c r="C145" s="270" t="str">
        <f>'H-EK'!K75</f>
        <v>Mehrw</v>
      </c>
      <c r="D145" s="263" t="str">
        <f>IF('H-EK'!D75="","",'H-EK'!D75)</f>
        <v xml:space="preserve"> 56015: AB, 31.12., Mehrwert zk. Vorr. (Treibstoff), xxxx, 260,-</v>
      </c>
      <c r="E145" s="264" t="s">
        <v>154</v>
      </c>
      <c r="F145" s="264"/>
      <c r="G145" s="238"/>
      <c r="H145" s="265" t="str">
        <f t="shared" si="24"/>
        <v/>
      </c>
      <c r="I145" s="261" t="str">
        <f t="shared" si="22"/>
        <v>Fehlt</v>
      </c>
      <c r="J145" s="266">
        <f t="shared" si="25"/>
        <v>0</v>
      </c>
      <c r="K145" s="258" t="s">
        <v>155</v>
      </c>
      <c r="L145" s="258">
        <f t="shared" si="26"/>
        <v>1</v>
      </c>
      <c r="M145" s="386" t="str">
        <f t="shared" si="27"/>
        <v>│ 56015: AB, 31.12., Mehrwert zk. Vorr. (Treibstoff), xxxx, 260,-│                         │----------│</v>
      </c>
      <c r="N145" s="259" t="str">
        <f t="shared" si="23"/>
        <v>x</v>
      </c>
    </row>
    <row r="146" spans="1:14" ht="12.75" hidden="1" customHeight="1" x14ac:dyDescent="0.25">
      <c r="A146" s="238"/>
      <c r="B146" s="240" t="str">
        <f>"Buchung EK "&amp;'B-EK'!B76</f>
        <v>Buchung EK 36</v>
      </c>
      <c r="C146" s="270" t="str">
        <f>'H-EK'!K76</f>
        <v/>
      </c>
      <c r="D146" s="263" t="str">
        <f>IF('H-EK'!D76="","",'H-EK'!D76)</f>
        <v/>
      </c>
      <c r="E146" s="264" t="s">
        <v>154</v>
      </c>
      <c r="F146" s="264"/>
      <c r="G146" s="238"/>
      <c r="H146" s="265" t="str">
        <f t="shared" si="24"/>
        <v/>
      </c>
      <c r="I146" s="261" t="str">
        <f t="shared" si="22"/>
        <v/>
      </c>
      <c r="J146" s="266" t="str">
        <f t="shared" si="25"/>
        <v>-</v>
      </c>
      <c r="K146" s="258" t="s">
        <v>155</v>
      </c>
      <c r="L146" s="258" t="str">
        <f t="shared" si="26"/>
        <v>-</v>
      </c>
      <c r="M146" s="386" t="str">
        <f t="shared" si="27"/>
        <v>│----------│----------│</v>
      </c>
      <c r="N146" s="259" t="str">
        <f t="shared" si="23"/>
        <v>x</v>
      </c>
    </row>
    <row r="147" spans="1:14" ht="12.75" customHeight="1" x14ac:dyDescent="0.25">
      <c r="A147" s="238"/>
      <c r="B147" s="240" t="str">
        <f>"Buchung EK "&amp;'B-EK'!B77</f>
        <v>Buchung EK 37</v>
      </c>
      <c r="C147" s="270" t="str">
        <f>'H-EK'!K77</f>
        <v>SALDO</v>
      </c>
      <c r="D147" s="263" t="str">
        <f>IF('H-EK'!D77="","",'H-EK'!D77)</f>
        <v xml:space="preserve"> 56015: AB, 31.12., SALDO, xxxx, 172,-</v>
      </c>
      <c r="E147" s="264" t="s">
        <v>154</v>
      </c>
      <c r="F147" s="264"/>
      <c r="G147" s="238"/>
      <c r="H147" s="265" t="str">
        <f t="shared" si="24"/>
        <v/>
      </c>
      <c r="I147" s="261" t="str">
        <f t="shared" si="22"/>
        <v>Fehlt</v>
      </c>
      <c r="J147" s="266">
        <f t="shared" si="25"/>
        <v>0</v>
      </c>
      <c r="K147" s="258" t="s">
        <v>155</v>
      </c>
      <c r="L147" s="258">
        <f t="shared" si="26"/>
        <v>1</v>
      </c>
      <c r="M147" s="386" t="str">
        <f t="shared" si="27"/>
        <v>│ 56015: AB, 31.12., SALDO, xxxx, 172,-│                         │----------│</v>
      </c>
      <c r="N147" s="259" t="str">
        <f t="shared" si="23"/>
        <v>x</v>
      </c>
    </row>
    <row r="148" spans="1:14" ht="12.75" customHeight="1" x14ac:dyDescent="0.25">
      <c r="A148" s="238"/>
      <c r="B148" s="240" t="str">
        <f>"Buchung EK "&amp;'B-EK'!B78</f>
        <v>Buchung EK 38</v>
      </c>
      <c r="C148" s="270" t="str">
        <f>'H-EK'!K78</f>
        <v>Summe</v>
      </c>
      <c r="D148" s="263" t="str">
        <f>IF('H-EK'!D78="","",'H-EK'!D78)</f>
        <v xml:space="preserve"> 56015: Summe, 432,-, 432,-</v>
      </c>
      <c r="E148" s="264" t="s">
        <v>154</v>
      </c>
      <c r="F148" s="264"/>
      <c r="G148" s="238"/>
      <c r="H148" s="265" t="str">
        <f t="shared" si="24"/>
        <v/>
      </c>
      <c r="I148" s="261" t="str">
        <f t="shared" si="22"/>
        <v>Fehlt</v>
      </c>
      <c r="J148" s="266">
        <f t="shared" si="25"/>
        <v>0</v>
      </c>
      <c r="K148" s="258" t="s">
        <v>155</v>
      </c>
      <c r="L148" s="258">
        <f t="shared" si="26"/>
        <v>1</v>
      </c>
      <c r="M148" s="386" t="str">
        <f t="shared" si="27"/>
        <v>│ 56015: Summe, 432,-, 432,-│                         │----------│</v>
      </c>
      <c r="N148" s="259" t="str">
        <f t="shared" si="23"/>
        <v>x</v>
      </c>
    </row>
    <row r="149" spans="1:14" ht="12.75" hidden="1" customHeight="1" x14ac:dyDescent="0.25">
      <c r="A149" s="238"/>
      <c r="B149" s="240" t="str">
        <f>"Buchung EK "&amp;'B-EK'!B79</f>
        <v>Buchung EK 39</v>
      </c>
      <c r="C149" s="270" t="str">
        <f>'H-EK'!K79</f>
        <v/>
      </c>
      <c r="D149" s="263" t="str">
        <f>IF('H-EK'!D79="","",'H-EK'!D79)</f>
        <v/>
      </c>
      <c r="E149" s="264" t="s">
        <v>154</v>
      </c>
      <c r="F149" s="264"/>
      <c r="G149" s="238"/>
      <c r="H149" s="265" t="str">
        <f t="shared" si="24"/>
        <v/>
      </c>
      <c r="I149" s="261" t="str">
        <f t="shared" si="22"/>
        <v/>
      </c>
      <c r="J149" s="266" t="str">
        <f t="shared" si="25"/>
        <v>-</v>
      </c>
      <c r="K149" s="258" t="s">
        <v>155</v>
      </c>
      <c r="L149" s="258" t="str">
        <f t="shared" si="26"/>
        <v>-</v>
      </c>
      <c r="M149" s="386" t="str">
        <f t="shared" si="27"/>
        <v>│----------│----------│</v>
      </c>
      <c r="N149" s="259" t="str">
        <f t="shared" si="23"/>
        <v>x</v>
      </c>
    </row>
    <row r="150" spans="1:14" ht="12.75" hidden="1" customHeight="1" x14ac:dyDescent="0.25">
      <c r="A150" s="238"/>
      <c r="B150" s="240" t="str">
        <f>"Buchung EK "&amp;'B-EK'!B80</f>
        <v>Buchung EK 40</v>
      </c>
      <c r="C150" s="270" t="str">
        <f>'H-EK'!K80</f>
        <v/>
      </c>
      <c r="D150" s="263" t="str">
        <f>IF('H-EK'!D80="","",'H-EK'!D80)</f>
        <v/>
      </c>
      <c r="E150" s="264" t="s">
        <v>154</v>
      </c>
      <c r="F150" s="264"/>
      <c r="G150" s="238"/>
      <c r="H150" s="265" t="str">
        <f t="shared" si="24"/>
        <v/>
      </c>
      <c r="I150" s="261" t="str">
        <f t="shared" si="22"/>
        <v/>
      </c>
      <c r="J150" s="266" t="str">
        <f t="shared" si="25"/>
        <v>-</v>
      </c>
      <c r="K150" s="258" t="s">
        <v>155</v>
      </c>
      <c r="L150" s="258" t="str">
        <f t="shared" si="26"/>
        <v>-</v>
      </c>
      <c r="M150" s="386" t="str">
        <f t="shared" si="27"/>
        <v>│----------│----------│</v>
      </c>
      <c r="N150" s="259" t="str">
        <f t="shared" si="23"/>
        <v>x</v>
      </c>
    </row>
    <row r="151" spans="1:14" ht="12.75" hidden="1" customHeight="1" x14ac:dyDescent="0.25">
      <c r="A151" s="238"/>
      <c r="B151" s="240" t="str">
        <f>"Buchung EK "&amp;'B-EK'!B81</f>
        <v>Buchung EK 41</v>
      </c>
      <c r="C151" s="270" t="str">
        <f>'H-EK'!K81</f>
        <v/>
      </c>
      <c r="D151" s="263" t="str">
        <f>IF('H-EK'!D81="","",'H-EK'!D81)</f>
        <v/>
      </c>
      <c r="E151" s="264" t="s">
        <v>154</v>
      </c>
      <c r="F151" s="264"/>
      <c r="G151" s="238"/>
      <c r="H151" s="265" t="str">
        <f t="shared" si="24"/>
        <v/>
      </c>
      <c r="I151" s="261" t="str">
        <f t="shared" si="22"/>
        <v/>
      </c>
      <c r="J151" s="266" t="str">
        <f t="shared" si="25"/>
        <v>-</v>
      </c>
      <c r="K151" s="258" t="s">
        <v>155</v>
      </c>
      <c r="L151" s="258" t="str">
        <f t="shared" si="26"/>
        <v>-</v>
      </c>
      <c r="M151" s="386" t="str">
        <f t="shared" si="27"/>
        <v>│----------│----------│</v>
      </c>
      <c r="N151" s="259" t="str">
        <f t="shared" si="23"/>
        <v>x</v>
      </c>
    </row>
    <row r="152" spans="1:14" ht="12.75" hidden="1" customHeight="1" x14ac:dyDescent="0.25">
      <c r="A152" s="238"/>
      <c r="B152" s="240" t="str">
        <f>"Buchung EK "&amp;'B-EK'!B82</f>
        <v>Buchung EK 42</v>
      </c>
      <c r="C152" s="270" t="str">
        <f>'H-EK'!K82</f>
        <v>SALDO</v>
      </c>
      <c r="D152" s="263" t="str">
        <f>IF('H-EK'!D82="","",'H-EK'!D82)</f>
        <v/>
      </c>
      <c r="E152" s="264" t="s">
        <v>154</v>
      </c>
      <c r="F152" s="264"/>
      <c r="G152" s="238"/>
      <c r="H152" s="265" t="str">
        <f t="shared" si="24"/>
        <v/>
      </c>
      <c r="I152" s="261" t="str">
        <f t="shared" si="22"/>
        <v/>
      </c>
      <c r="J152" s="266" t="str">
        <f t="shared" si="25"/>
        <v>-</v>
      </c>
      <c r="K152" s="258" t="s">
        <v>155</v>
      </c>
      <c r="L152" s="258" t="str">
        <f t="shared" si="26"/>
        <v>-</v>
      </c>
      <c r="M152" s="386" t="str">
        <f t="shared" si="27"/>
        <v>│----------│----------│</v>
      </c>
      <c r="N152" s="259" t="str">
        <f t="shared" si="23"/>
        <v>x</v>
      </c>
    </row>
    <row r="153" spans="1:14" ht="12.75" hidden="1" customHeight="1" x14ac:dyDescent="0.25">
      <c r="A153" s="238"/>
      <c r="B153" s="240" t="str">
        <f>"Buchung EK "&amp;'B-EK'!B83</f>
        <v>Buchung EK 43</v>
      </c>
      <c r="C153" s="270" t="str">
        <f>'H-EK'!K83</f>
        <v>Summe</v>
      </c>
      <c r="D153" s="263" t="str">
        <f>IF('H-EK'!D83="","",'H-EK'!D83)</f>
        <v/>
      </c>
      <c r="E153" s="264" t="s">
        <v>154</v>
      </c>
      <c r="F153" s="264"/>
      <c r="G153" s="238"/>
      <c r="H153" s="265" t="str">
        <f t="shared" si="24"/>
        <v/>
      </c>
      <c r="I153" s="261" t="str">
        <f t="shared" si="22"/>
        <v/>
      </c>
      <c r="J153" s="266" t="str">
        <f t="shared" si="25"/>
        <v>-</v>
      </c>
      <c r="K153" s="258" t="s">
        <v>155</v>
      </c>
      <c r="L153" s="258" t="str">
        <f t="shared" si="26"/>
        <v>-</v>
      </c>
      <c r="M153" s="386" t="str">
        <f t="shared" si="27"/>
        <v>│----------│----------│</v>
      </c>
      <c r="N153" s="259" t="str">
        <f t="shared" si="23"/>
        <v>x</v>
      </c>
    </row>
    <row r="154" spans="1:14" ht="12.75" hidden="1" customHeight="1" x14ac:dyDescent="0.25">
      <c r="A154" s="238"/>
      <c r="B154" s="240" t="str">
        <f>"Buchung EK "&amp;'B-EK'!B84</f>
        <v>Buchung EK 44</v>
      </c>
      <c r="C154" s="270" t="str">
        <f>'H-EK'!K84</f>
        <v/>
      </c>
      <c r="D154" s="263" t="str">
        <f>IF('H-EK'!D84="","",'H-EK'!D84)</f>
        <v/>
      </c>
      <c r="E154" s="264" t="s">
        <v>154</v>
      </c>
      <c r="F154" s="264"/>
      <c r="G154" s="238"/>
      <c r="H154" s="265" t="str">
        <f t="shared" si="24"/>
        <v/>
      </c>
      <c r="I154" s="261" t="str">
        <f t="shared" si="22"/>
        <v/>
      </c>
      <c r="J154" s="266" t="str">
        <f t="shared" si="25"/>
        <v>-</v>
      </c>
      <c r="K154" s="258" t="s">
        <v>155</v>
      </c>
      <c r="L154" s="258" t="str">
        <f t="shared" si="26"/>
        <v>-</v>
      </c>
      <c r="M154" s="386" t="str">
        <f t="shared" si="27"/>
        <v>│----------│----------│</v>
      </c>
      <c r="N154" s="259" t="str">
        <f t="shared" si="23"/>
        <v>x</v>
      </c>
    </row>
    <row r="155" spans="1:14" ht="12.75" hidden="1" customHeight="1" x14ac:dyDescent="0.25">
      <c r="A155" s="238"/>
      <c r="B155" s="240" t="str">
        <f>"Buchung EK "&amp;'B-EK'!B85</f>
        <v>Buchung EK 45</v>
      </c>
      <c r="C155" s="270" t="str">
        <f>'H-EK'!K85</f>
        <v/>
      </c>
      <c r="D155" s="263" t="str">
        <f>IF('H-EK'!D85="","",'H-EK'!D85)</f>
        <v/>
      </c>
      <c r="E155" s="264" t="s">
        <v>154</v>
      </c>
      <c r="F155" s="264"/>
      <c r="G155" s="238"/>
      <c r="H155" s="265" t="str">
        <f t="shared" si="24"/>
        <v/>
      </c>
      <c r="I155" s="261" t="str">
        <f t="shared" si="22"/>
        <v/>
      </c>
      <c r="J155" s="266" t="str">
        <f t="shared" si="25"/>
        <v>-</v>
      </c>
      <c r="K155" s="258" t="s">
        <v>155</v>
      </c>
      <c r="L155" s="258" t="str">
        <f t="shared" si="26"/>
        <v>-</v>
      </c>
      <c r="M155" s="386" t="str">
        <f t="shared" si="27"/>
        <v>│----------│----------│</v>
      </c>
      <c r="N155" s="259" t="str">
        <f t="shared" si="23"/>
        <v>x</v>
      </c>
    </row>
    <row r="156" spans="1:14" ht="12.75" hidden="1" customHeight="1" x14ac:dyDescent="0.25">
      <c r="A156" s="238"/>
      <c r="B156" s="240" t="str">
        <f>"Buchung EK "&amp;'B-EK'!B86</f>
        <v>Buchung EK 46</v>
      </c>
      <c r="C156" s="270" t="str">
        <f>'H-EK'!K86</f>
        <v/>
      </c>
      <c r="D156" s="263" t="str">
        <f>IF('H-EK'!D86="","",'H-EK'!D86)</f>
        <v/>
      </c>
      <c r="E156" s="264" t="s">
        <v>154</v>
      </c>
      <c r="F156" s="264"/>
      <c r="G156" s="238"/>
      <c r="H156" s="265" t="str">
        <f t="shared" si="24"/>
        <v/>
      </c>
      <c r="I156" s="261" t="str">
        <f t="shared" si="22"/>
        <v/>
      </c>
      <c r="J156" s="266" t="str">
        <f t="shared" si="25"/>
        <v>-</v>
      </c>
      <c r="K156" s="258" t="s">
        <v>155</v>
      </c>
      <c r="L156" s="258" t="str">
        <f t="shared" si="26"/>
        <v>-</v>
      </c>
      <c r="M156" s="386" t="str">
        <f t="shared" si="27"/>
        <v>│----------│----------│</v>
      </c>
      <c r="N156" s="259" t="str">
        <f t="shared" si="23"/>
        <v>x</v>
      </c>
    </row>
    <row r="157" spans="1:14" ht="12.75" hidden="1" customHeight="1" x14ac:dyDescent="0.25">
      <c r="A157" s="238"/>
      <c r="B157" s="240" t="str">
        <f>"Buchung EK "&amp;'B-EK'!B87</f>
        <v>Buchung EK 47</v>
      </c>
      <c r="C157" s="270" t="str">
        <f>'H-EK'!K87</f>
        <v>SALDO</v>
      </c>
      <c r="D157" s="263" t="str">
        <f>IF('H-EK'!D87="","",'H-EK'!D87)</f>
        <v/>
      </c>
      <c r="E157" s="264" t="s">
        <v>154</v>
      </c>
      <c r="F157" s="264"/>
      <c r="G157" s="238"/>
      <c r="H157" s="265" t="str">
        <f t="shared" si="24"/>
        <v/>
      </c>
      <c r="I157" s="261" t="str">
        <f t="shared" si="22"/>
        <v/>
      </c>
      <c r="J157" s="266" t="str">
        <f t="shared" si="25"/>
        <v>-</v>
      </c>
      <c r="K157" s="258" t="s">
        <v>155</v>
      </c>
      <c r="L157" s="258" t="str">
        <f t="shared" si="26"/>
        <v>-</v>
      </c>
      <c r="M157" s="386" t="str">
        <f t="shared" si="27"/>
        <v>│----------│----------│</v>
      </c>
      <c r="N157" s="259" t="str">
        <f t="shared" si="23"/>
        <v>x</v>
      </c>
    </row>
    <row r="158" spans="1:14" ht="12.75" hidden="1" customHeight="1" x14ac:dyDescent="0.25">
      <c r="A158" s="238"/>
      <c r="B158" s="240" t="str">
        <f>"Buchung EK "&amp;'B-EK'!B88</f>
        <v>Buchung EK 48</v>
      </c>
      <c r="C158" s="270" t="str">
        <f>'H-EK'!K88</f>
        <v>Summe</v>
      </c>
      <c r="D158" s="263" t="str">
        <f>IF('H-EK'!D88="","",'H-EK'!D88)</f>
        <v/>
      </c>
      <c r="E158" s="264" t="s">
        <v>154</v>
      </c>
      <c r="F158" s="264"/>
      <c r="G158" s="238"/>
      <c r="H158" s="265" t="str">
        <f t="shared" si="24"/>
        <v/>
      </c>
      <c r="I158" s="261" t="str">
        <f t="shared" si="22"/>
        <v/>
      </c>
      <c r="J158" s="266" t="str">
        <f t="shared" si="25"/>
        <v>-</v>
      </c>
      <c r="K158" s="258" t="s">
        <v>155</v>
      </c>
      <c r="L158" s="258" t="str">
        <f t="shared" si="26"/>
        <v>-</v>
      </c>
      <c r="M158" s="386" t="str">
        <f t="shared" si="27"/>
        <v>│----------│----------│</v>
      </c>
      <c r="N158" s="259" t="str">
        <f t="shared" si="23"/>
        <v>x</v>
      </c>
    </row>
    <row r="159" spans="1:14" ht="12.75" customHeight="1" x14ac:dyDescent="0.25">
      <c r="A159" s="238"/>
      <c r="B159" s="240" t="str">
        <f>"Buchung EK "&amp;'B-EK'!B89</f>
        <v>Buchung EK 49</v>
      </c>
      <c r="C159" s="270" t="str">
        <f>'H-EK'!K89</f>
        <v>Afa G</v>
      </c>
      <c r="D159" s="263" t="str">
        <f>IF('H-EK'!D89="","",'H-EK'!D89)</f>
        <v xml:space="preserve"> 70200: AB, 31.12., Afa Gebäude, 4 269,-, xxxx</v>
      </c>
      <c r="E159" s="264" t="s">
        <v>154</v>
      </c>
      <c r="F159" s="264"/>
      <c r="G159" s="238"/>
      <c r="H159" s="265" t="str">
        <f t="shared" si="24"/>
        <v/>
      </c>
      <c r="I159" s="261" t="str">
        <f t="shared" si="22"/>
        <v>Fehlt</v>
      </c>
      <c r="J159" s="266">
        <f t="shared" si="25"/>
        <v>0</v>
      </c>
      <c r="K159" s="258" t="s">
        <v>155</v>
      </c>
      <c r="L159" s="258">
        <f t="shared" si="26"/>
        <v>1</v>
      </c>
      <c r="M159" s="386" t="str">
        <f t="shared" si="27"/>
        <v>│ 70200: AB, 31.12., Afa Gebäude, 4 269,-, xxxx│                         │----------│</v>
      </c>
      <c r="N159" s="259" t="str">
        <f t="shared" si="23"/>
        <v>x</v>
      </c>
    </row>
    <row r="160" spans="1:14" ht="12.75" customHeight="1" x14ac:dyDescent="0.25">
      <c r="A160" s="238"/>
      <c r="B160" s="240" t="str">
        <f>"Buchung EK "&amp;'B-EK'!B90</f>
        <v>Buchung EK 50</v>
      </c>
      <c r="C160" s="270" t="str">
        <f>'H-EK'!K90</f>
        <v>Afa M</v>
      </c>
      <c r="D160" s="263" t="str">
        <f>IF('H-EK'!D90="","",'H-EK'!D90)</f>
        <v xml:space="preserve"> 70200: AB, 31.12., Afa Maschinen, 3 424,-, xxxx</v>
      </c>
      <c r="E160" s="264" t="s">
        <v>154</v>
      </c>
      <c r="F160" s="264"/>
      <c r="G160" s="238"/>
      <c r="H160" s="265" t="str">
        <f t="shared" si="24"/>
        <v/>
      </c>
      <c r="I160" s="261" t="str">
        <f t="shared" si="22"/>
        <v>Fehlt</v>
      </c>
      <c r="J160" s="266">
        <f t="shared" si="25"/>
        <v>0</v>
      </c>
      <c r="K160" s="258" t="s">
        <v>155</v>
      </c>
      <c r="L160" s="258">
        <f t="shared" si="26"/>
        <v>1</v>
      </c>
      <c r="M160" s="386" t="str">
        <f t="shared" si="27"/>
        <v>│ 70200: AB, 31.12., Afa Maschinen, 3 424,-, xxxx│                         │----------│</v>
      </c>
      <c r="N160" s="259" t="str">
        <f t="shared" si="23"/>
        <v>x</v>
      </c>
    </row>
    <row r="161" spans="1:14" ht="12.75" hidden="1" customHeight="1" x14ac:dyDescent="0.25">
      <c r="A161" s="238"/>
      <c r="B161" s="240" t="str">
        <f>"Buchung EK "&amp;'B-EK'!B91</f>
        <v>Buchung EK 51</v>
      </c>
      <c r="C161" s="270" t="str">
        <f>'H-EK'!K91</f>
        <v/>
      </c>
      <c r="D161" s="263" t="str">
        <f>IF('H-EK'!D91="","",'H-EK'!D91)</f>
        <v/>
      </c>
      <c r="E161" s="264" t="s">
        <v>154</v>
      </c>
      <c r="F161" s="264"/>
      <c r="G161" s="238"/>
      <c r="H161" s="265" t="str">
        <f t="shared" si="24"/>
        <v/>
      </c>
      <c r="I161" s="261" t="str">
        <f t="shared" si="22"/>
        <v/>
      </c>
      <c r="J161" s="266" t="str">
        <f t="shared" si="25"/>
        <v>-</v>
      </c>
      <c r="K161" s="258" t="s">
        <v>155</v>
      </c>
      <c r="L161" s="258" t="str">
        <f t="shared" si="26"/>
        <v>-</v>
      </c>
      <c r="M161" s="386" t="str">
        <f t="shared" si="27"/>
        <v>│----------│----------│</v>
      </c>
      <c r="N161" s="259" t="str">
        <f t="shared" si="23"/>
        <v>x</v>
      </c>
    </row>
    <row r="162" spans="1:14" ht="12.75" customHeight="1" x14ac:dyDescent="0.25">
      <c r="A162" s="238"/>
      <c r="B162" s="240" t="str">
        <f>"Buchung EK "&amp;'B-EK'!B92</f>
        <v>Buchung EK 52</v>
      </c>
      <c r="C162" s="270" t="str">
        <f>'H-EK'!K92</f>
        <v>SALDO</v>
      </c>
      <c r="D162" s="263" t="str">
        <f>IF('H-EK'!D92="","",'H-EK'!D92)</f>
        <v xml:space="preserve"> 70200: AB, 31.12., SALDO, xxxx, 7 692,-</v>
      </c>
      <c r="E162" s="264" t="s">
        <v>154</v>
      </c>
      <c r="F162" s="264"/>
      <c r="G162" s="238"/>
      <c r="H162" s="265" t="str">
        <f t="shared" si="24"/>
        <v/>
      </c>
      <c r="I162" s="261" t="str">
        <f t="shared" si="22"/>
        <v>Fehlt</v>
      </c>
      <c r="J162" s="266">
        <f t="shared" si="25"/>
        <v>0</v>
      </c>
      <c r="K162" s="258" t="s">
        <v>155</v>
      </c>
      <c r="L162" s="258">
        <f t="shared" si="26"/>
        <v>1</v>
      </c>
      <c r="M162" s="386" t="str">
        <f t="shared" si="27"/>
        <v>│ 70200: AB, 31.12., SALDO, xxxx, 7 692,-│                         │----------│</v>
      </c>
      <c r="N162" s="259" t="str">
        <f t="shared" si="23"/>
        <v>x</v>
      </c>
    </row>
    <row r="163" spans="1:14" ht="12.75" customHeight="1" x14ac:dyDescent="0.25">
      <c r="A163" s="238"/>
      <c r="B163" s="240" t="str">
        <f>"Buchung EK "&amp;'B-EK'!B93</f>
        <v>Buchung EK 53</v>
      </c>
      <c r="C163" s="270" t="str">
        <f>'H-EK'!K93</f>
        <v>Summe</v>
      </c>
      <c r="D163" s="263" t="str">
        <f>IF('H-EK'!D93="","",'H-EK'!D93)</f>
        <v xml:space="preserve"> 70200: Summe, 7 692,-, 7 692,-</v>
      </c>
      <c r="E163" s="264" t="s">
        <v>154</v>
      </c>
      <c r="F163" s="264"/>
      <c r="G163" s="238"/>
      <c r="H163" s="265" t="str">
        <f t="shared" si="24"/>
        <v/>
      </c>
      <c r="I163" s="261" t="str">
        <f t="shared" si="22"/>
        <v>Fehlt</v>
      </c>
      <c r="J163" s="266">
        <f t="shared" si="25"/>
        <v>0</v>
      </c>
      <c r="K163" s="258" t="s">
        <v>155</v>
      </c>
      <c r="L163" s="258">
        <f t="shared" si="26"/>
        <v>1</v>
      </c>
      <c r="M163" s="386" t="str">
        <f t="shared" si="27"/>
        <v>│ 70200: Summe, 7 692,-, 7 692,-│                         │----------│</v>
      </c>
      <c r="N163" s="259" t="str">
        <f t="shared" si="23"/>
        <v>x</v>
      </c>
    </row>
    <row r="164" spans="1:14" ht="12.75" hidden="1" customHeight="1" x14ac:dyDescent="0.25">
      <c r="A164" s="238"/>
      <c r="B164" s="240" t="str">
        <f>"Buchung EK "&amp;'B-EK'!B94</f>
        <v>Buchung EK 54</v>
      </c>
      <c r="C164" s="270" t="str">
        <f>'H-EK'!K94</f>
        <v/>
      </c>
      <c r="D164" s="263" t="str">
        <f>IF('H-EK'!D94="","",'H-EK'!D94)</f>
        <v/>
      </c>
      <c r="E164" s="264" t="s">
        <v>154</v>
      </c>
      <c r="F164" s="264"/>
      <c r="G164" s="238"/>
      <c r="H164" s="265" t="str">
        <f t="shared" si="24"/>
        <v/>
      </c>
      <c r="I164" s="261" t="str">
        <f t="shared" si="22"/>
        <v/>
      </c>
      <c r="J164" s="266" t="str">
        <f t="shared" si="25"/>
        <v>-</v>
      </c>
      <c r="K164" s="258" t="s">
        <v>155</v>
      </c>
      <c r="L164" s="258" t="str">
        <f t="shared" si="26"/>
        <v>-</v>
      </c>
      <c r="M164" s="386" t="str">
        <f t="shared" si="27"/>
        <v>│----------│----------│</v>
      </c>
      <c r="N164" s="259" t="str">
        <f t="shared" si="23"/>
        <v>x</v>
      </c>
    </row>
    <row r="165" spans="1:14" ht="12.75" hidden="1" customHeight="1" x14ac:dyDescent="0.25">
      <c r="A165" s="238"/>
      <c r="B165" s="240" t="str">
        <f>"Buchung EK "&amp;'B-EK'!B95</f>
        <v>Buchung EK 55</v>
      </c>
      <c r="C165" s="270" t="str">
        <f>'H-EK'!K95</f>
        <v/>
      </c>
      <c r="D165" s="263" t="str">
        <f>IF('H-EK'!D95="","",'H-EK'!D95)</f>
        <v/>
      </c>
      <c r="E165" s="264" t="s">
        <v>154</v>
      </c>
      <c r="F165" s="264"/>
      <c r="G165" s="238"/>
      <c r="H165" s="265" t="str">
        <f t="shared" si="24"/>
        <v/>
      </c>
      <c r="I165" s="261" t="str">
        <f t="shared" si="22"/>
        <v/>
      </c>
      <c r="J165" s="266" t="str">
        <f t="shared" si="25"/>
        <v>-</v>
      </c>
      <c r="K165" s="258" t="s">
        <v>155</v>
      </c>
      <c r="L165" s="258" t="str">
        <f t="shared" si="26"/>
        <v>-</v>
      </c>
      <c r="M165" s="386" t="str">
        <f t="shared" si="27"/>
        <v>│----------│----------│</v>
      </c>
      <c r="N165" s="259" t="str">
        <f t="shared" si="23"/>
        <v>x</v>
      </c>
    </row>
    <row r="166" spans="1:14" ht="12.75" hidden="1" customHeight="1" x14ac:dyDescent="0.25">
      <c r="A166" s="238"/>
      <c r="B166" s="240" t="str">
        <f>"Buchung EK "&amp;'B-EK'!B96</f>
        <v>Buchung EK 56</v>
      </c>
      <c r="C166" s="270" t="str">
        <f>'H-EK'!K96</f>
        <v/>
      </c>
      <c r="D166" s="263" t="str">
        <f>IF('H-EK'!D96="","",'H-EK'!D96)</f>
        <v/>
      </c>
      <c r="E166" s="264" t="s">
        <v>154</v>
      </c>
      <c r="F166" s="264"/>
      <c r="G166" s="238"/>
      <c r="H166" s="265" t="str">
        <f t="shared" si="24"/>
        <v/>
      </c>
      <c r="I166" s="261" t="str">
        <f t="shared" si="22"/>
        <v/>
      </c>
      <c r="J166" s="266" t="str">
        <f t="shared" si="25"/>
        <v>-</v>
      </c>
      <c r="K166" s="258" t="s">
        <v>155</v>
      </c>
      <c r="L166" s="258" t="str">
        <f t="shared" si="26"/>
        <v>-</v>
      </c>
      <c r="M166" s="386" t="str">
        <f t="shared" si="27"/>
        <v>│----------│----------│</v>
      </c>
      <c r="N166" s="259" t="str">
        <f t="shared" si="23"/>
        <v>x</v>
      </c>
    </row>
    <row r="167" spans="1:14" ht="12.75" hidden="1" customHeight="1" x14ac:dyDescent="0.25">
      <c r="A167" s="238"/>
      <c r="B167" s="240" t="str">
        <f>"Buchung EK "&amp;'B-EK'!B97</f>
        <v>Buchung EK 57</v>
      </c>
      <c r="C167" s="270" t="str">
        <f>'H-EK'!K97</f>
        <v>SALDO</v>
      </c>
      <c r="D167" s="263" t="str">
        <f>IF('H-EK'!D97="","",'H-EK'!D97)</f>
        <v/>
      </c>
      <c r="E167" s="264" t="s">
        <v>154</v>
      </c>
      <c r="F167" s="264"/>
      <c r="G167" s="238"/>
      <c r="H167" s="265" t="str">
        <f t="shared" si="24"/>
        <v/>
      </c>
      <c r="I167" s="261" t="str">
        <f t="shared" si="22"/>
        <v/>
      </c>
      <c r="J167" s="266" t="str">
        <f t="shared" si="25"/>
        <v>-</v>
      </c>
      <c r="K167" s="258" t="s">
        <v>155</v>
      </c>
      <c r="L167" s="258" t="str">
        <f t="shared" si="26"/>
        <v>-</v>
      </c>
      <c r="M167" s="386" t="str">
        <f t="shared" si="27"/>
        <v>│----------│----------│</v>
      </c>
      <c r="N167" s="259" t="str">
        <f t="shared" si="23"/>
        <v>x</v>
      </c>
    </row>
    <row r="168" spans="1:14" ht="12.75" hidden="1" customHeight="1" x14ac:dyDescent="0.25">
      <c r="A168" s="238"/>
      <c r="B168" s="240" t="str">
        <f>"Buchung EK "&amp;'B-EK'!B98</f>
        <v>Buchung EK 58</v>
      </c>
      <c r="C168" s="270" t="str">
        <f>'H-EK'!K98</f>
        <v>Summe</v>
      </c>
      <c r="D168" s="263" t="str">
        <f>IF('H-EK'!D98="","",'H-EK'!D98)</f>
        <v/>
      </c>
      <c r="E168" s="264" t="s">
        <v>154</v>
      </c>
      <c r="F168" s="264"/>
      <c r="G168" s="238"/>
      <c r="H168" s="265" t="str">
        <f t="shared" si="24"/>
        <v/>
      </c>
      <c r="I168" s="261" t="str">
        <f t="shared" si="22"/>
        <v/>
      </c>
      <c r="J168" s="266" t="str">
        <f t="shared" si="25"/>
        <v>-</v>
      </c>
      <c r="K168" s="258" t="s">
        <v>155</v>
      </c>
      <c r="L168" s="258" t="str">
        <f t="shared" si="26"/>
        <v>-</v>
      </c>
      <c r="M168" s="386" t="str">
        <f t="shared" si="27"/>
        <v>│----------│----------│</v>
      </c>
      <c r="N168" s="259" t="str">
        <f t="shared" si="23"/>
        <v>x</v>
      </c>
    </row>
    <row r="169" spans="1:14" ht="12.75" customHeight="1" x14ac:dyDescent="0.25">
      <c r="A169" s="238"/>
      <c r="B169" s="240" t="str">
        <f>"Buchung EK "&amp;'B-EK'!B99</f>
        <v>Buchung EK 59</v>
      </c>
      <c r="C169" s="270" t="str">
        <f>'H-EK'!K99</f>
        <v>Darl.</v>
      </c>
      <c r="D169" s="263" t="str">
        <f>IF('H-EK'!D99="","",'H-EK'!D99)</f>
        <v xml:space="preserve"> 82800: B6, 08.09., Darl.: Zinsen, 558,-, xxxx</v>
      </c>
      <c r="E169" s="264" t="s">
        <v>154</v>
      </c>
      <c r="F169" s="264"/>
      <c r="G169" s="238"/>
      <c r="H169" s="265" t="str">
        <f t="shared" si="24"/>
        <v/>
      </c>
      <c r="I169" s="261" t="str">
        <f t="shared" si="22"/>
        <v>Fehlt</v>
      </c>
      <c r="J169" s="266">
        <f t="shared" si="25"/>
        <v>0</v>
      </c>
      <c r="K169" s="258" t="s">
        <v>155</v>
      </c>
      <c r="L169" s="258">
        <f t="shared" si="26"/>
        <v>1</v>
      </c>
      <c r="M169" s="386" t="str">
        <f t="shared" si="27"/>
        <v>│ 82800: B6, 08.09., Darl.: Zinsen, 558,-, xxxx│                         │----------│</v>
      </c>
      <c r="N169" s="259" t="str">
        <f t="shared" si="23"/>
        <v>x</v>
      </c>
    </row>
    <row r="170" spans="1:14" ht="12.75" hidden="1" customHeight="1" x14ac:dyDescent="0.25">
      <c r="A170" s="238"/>
      <c r="B170" s="240" t="str">
        <f>"Buchung EK "&amp;'B-EK'!B100</f>
        <v>Buchung EK 60</v>
      </c>
      <c r="C170" s="270" t="str">
        <f>'H-EK'!K100</f>
        <v/>
      </c>
      <c r="D170" s="263" t="str">
        <f>IF('H-EK'!D100="","",'H-EK'!D100)</f>
        <v/>
      </c>
      <c r="E170" s="264" t="s">
        <v>154</v>
      </c>
      <c r="F170" s="264"/>
      <c r="G170" s="238"/>
      <c r="H170" s="265" t="str">
        <f t="shared" si="24"/>
        <v/>
      </c>
      <c r="I170" s="261" t="str">
        <f t="shared" si="22"/>
        <v/>
      </c>
      <c r="J170" s="266" t="str">
        <f t="shared" si="25"/>
        <v>-</v>
      </c>
      <c r="K170" s="258" t="s">
        <v>155</v>
      </c>
      <c r="L170" s="258" t="str">
        <f t="shared" si="26"/>
        <v>-</v>
      </c>
      <c r="M170" s="386" t="str">
        <f t="shared" si="27"/>
        <v>│----------│----------│</v>
      </c>
      <c r="N170" s="259" t="str">
        <f t="shared" si="23"/>
        <v>x</v>
      </c>
    </row>
    <row r="171" spans="1:14" ht="12.75" hidden="1" customHeight="1" x14ac:dyDescent="0.25">
      <c r="A171" s="238"/>
      <c r="B171" s="240" t="str">
        <f>"Buchung EK "&amp;'B-EK'!B101</f>
        <v>Buchung EK 61</v>
      </c>
      <c r="C171" s="270" t="str">
        <f>'H-EK'!K101</f>
        <v/>
      </c>
      <c r="D171" s="263" t="str">
        <f>IF('H-EK'!D101="","",'H-EK'!D101)</f>
        <v/>
      </c>
      <c r="E171" s="264" t="s">
        <v>154</v>
      </c>
      <c r="F171" s="264"/>
      <c r="G171" s="238"/>
      <c r="H171" s="265" t="str">
        <f t="shared" si="24"/>
        <v/>
      </c>
      <c r="I171" s="261" t="str">
        <f t="shared" si="22"/>
        <v/>
      </c>
      <c r="J171" s="266" t="str">
        <f t="shared" si="25"/>
        <v>-</v>
      </c>
      <c r="K171" s="258" t="s">
        <v>155</v>
      </c>
      <c r="L171" s="258" t="str">
        <f t="shared" si="26"/>
        <v>-</v>
      </c>
      <c r="M171" s="386" t="str">
        <f t="shared" si="27"/>
        <v>│----------│----------│</v>
      </c>
      <c r="N171" s="259" t="str">
        <f t="shared" si="23"/>
        <v>x</v>
      </c>
    </row>
    <row r="172" spans="1:14" ht="12.75" customHeight="1" x14ac:dyDescent="0.25">
      <c r="A172" s="238"/>
      <c r="B172" s="240" t="str">
        <f>"Buchung EK "&amp;'B-EK'!B102</f>
        <v>Buchung EK 62</v>
      </c>
      <c r="C172" s="270" t="str">
        <f>'H-EK'!K102</f>
        <v>SALDO</v>
      </c>
      <c r="D172" s="263" t="str">
        <f>IF('H-EK'!D102="","",'H-EK'!D102)</f>
        <v xml:space="preserve"> 82800: AB, 31.12., SALDO, xxxx, 558,-</v>
      </c>
      <c r="E172" s="264" t="s">
        <v>154</v>
      </c>
      <c r="F172" s="264"/>
      <c r="G172" s="238"/>
      <c r="H172" s="265" t="str">
        <f t="shared" si="24"/>
        <v/>
      </c>
      <c r="I172" s="261" t="str">
        <f t="shared" si="22"/>
        <v>Fehlt</v>
      </c>
      <c r="J172" s="266">
        <f t="shared" si="25"/>
        <v>0</v>
      </c>
      <c r="K172" s="258" t="s">
        <v>155</v>
      </c>
      <c r="L172" s="258">
        <f t="shared" si="26"/>
        <v>1</v>
      </c>
      <c r="M172" s="386" t="str">
        <f t="shared" si="27"/>
        <v>│ 82800: AB, 31.12., SALDO, xxxx, 558,-│                         │----------│</v>
      </c>
      <c r="N172" s="259" t="str">
        <f t="shared" si="23"/>
        <v>x</v>
      </c>
    </row>
    <row r="173" spans="1:14" ht="12.75" customHeight="1" x14ac:dyDescent="0.25">
      <c r="A173" s="238"/>
      <c r="B173" s="240" t="str">
        <f>"Buchung EK "&amp;'B-EK'!B103</f>
        <v>Buchung EK 63</v>
      </c>
      <c r="C173" s="270" t="str">
        <f>'H-EK'!K103</f>
        <v>Summe</v>
      </c>
      <c r="D173" s="263" t="str">
        <f>IF('H-EK'!D103="","",'H-EK'!D103)</f>
        <v xml:space="preserve"> 82800: Summe, 558,-, 558,-</v>
      </c>
      <c r="E173" s="264" t="s">
        <v>154</v>
      </c>
      <c r="F173" s="264"/>
      <c r="G173" s="238"/>
      <c r="H173" s="265" t="str">
        <f t="shared" si="24"/>
        <v/>
      </c>
      <c r="I173" s="261" t="str">
        <f t="shared" si="22"/>
        <v>Fehlt</v>
      </c>
      <c r="J173" s="266">
        <f t="shared" si="25"/>
        <v>0</v>
      </c>
      <c r="K173" s="258" t="s">
        <v>155</v>
      </c>
      <c r="L173" s="258">
        <f t="shared" si="26"/>
        <v>1</v>
      </c>
      <c r="M173" s="386" t="str">
        <f t="shared" si="27"/>
        <v>│ 82800: Summe, 558,-, 558,-│                         │----------│</v>
      </c>
      <c r="N173" s="259" t="str">
        <f t="shared" si="23"/>
        <v>x</v>
      </c>
    </row>
    <row r="174" spans="1:14" x14ac:dyDescent="0.25">
      <c r="A174" s="238"/>
      <c r="B174" s="268"/>
      <c r="C174" s="262" t="s">
        <v>154</v>
      </c>
      <c r="D174" s="269"/>
      <c r="E174" s="264"/>
      <c r="F174" s="264"/>
      <c r="G174" s="238"/>
      <c r="H174" s="238"/>
      <c r="I174" s="261"/>
      <c r="J174" s="261"/>
      <c r="K174" s="258"/>
      <c r="L174" s="258"/>
      <c r="M174" s="386"/>
      <c r="N174" s="259" t="str">
        <f t="shared" si="23"/>
        <v>x</v>
      </c>
    </row>
    <row r="175" spans="1:14" ht="12.75" customHeight="1" x14ac:dyDescent="0.25">
      <c r="A175" s="238"/>
      <c r="B175" s="260" t="s">
        <v>162</v>
      </c>
      <c r="C175" s="262" t="s">
        <v>154</v>
      </c>
      <c r="D175" s="255"/>
      <c r="E175" s="238"/>
      <c r="F175" s="238"/>
      <c r="G175" s="238"/>
      <c r="H175" s="241"/>
      <c r="I175" s="261"/>
      <c r="J175" s="267"/>
      <c r="K175" s="258"/>
      <c r="L175" s="258"/>
      <c r="M175" s="386"/>
      <c r="N175" s="259" t="str">
        <f t="shared" si="23"/>
        <v>x</v>
      </c>
    </row>
    <row r="176" spans="1:14" ht="12.75" customHeight="1" x14ac:dyDescent="0.25">
      <c r="A176" s="238"/>
      <c r="B176" s="240" t="str">
        <f>"Buchung EAK "&amp;'B-EAK'!B41</f>
        <v>Buchung EAK 1</v>
      </c>
      <c r="C176" s="270" t="str">
        <f>'H-EAK'!K41</f>
        <v>Wohnhausumbau</v>
      </c>
      <c r="D176" s="263" t="str">
        <f>IF('H-EAK'!D41="","",'H-EAK'!D41)</f>
        <v xml:space="preserve"> 96000: Wohnhausumbau, 10 793,-, xxxx</v>
      </c>
      <c r="E176" s="264" t="s">
        <v>154</v>
      </c>
      <c r="F176" s="264"/>
      <c r="G176" s="238"/>
      <c r="H176" s="265" t="str">
        <f t="shared" ref="H176" si="28">IF(OR(D176="",TYPE(VLOOKUP(MID(D176,1,FIND(": ",D176,1)-1)&amp;C176,B_EAK,2,0))=16),"",VLOOKUP(MID(D176,1,FIND(": ",D176,1)-1)&amp;C176,B_EAK,2,0))</f>
        <v/>
      </c>
      <c r="I176" s="261" t="str">
        <f>IF(AND(D176="",H176=""),"",IF(H176=D176,"Richtig!",IF(H176="","Fehlt","Falsch")))</f>
        <v>Fehlt</v>
      </c>
      <c r="J176" s="266">
        <f t="shared" ref="J176:J207" si="29">IF(OR($N46&lt;&gt;"x",AND(D176="",H176="")),"-",IF(I176="Richtig!",1,IF(I176="Formel: OK",0.5,IF(OR(I176="Falsch",I176="Fehlt"),0,""))))</f>
        <v>0</v>
      </c>
      <c r="K176" s="258" t="s">
        <v>155</v>
      </c>
      <c r="L176" s="258">
        <f t="shared" ref="L176:L207" si="30">IF(OR($N46&lt;&gt;"x",AND(D176="",H176="")),"-",1)</f>
        <v>1</v>
      </c>
      <c r="M176" s="386" t="str">
        <f t="shared" ref="M176:M207" si="31">IF(D176="","│----------│","│"&amp;D176&amp;"│                         │")&amp;IF(H176="","----------│",H176&amp;"│")</f>
        <v>│ 96000: Wohnhausumbau, 10 793,-, xxxx│                         │----------│</v>
      </c>
      <c r="N176" s="259" t="str">
        <f t="shared" si="23"/>
        <v>x</v>
      </c>
    </row>
    <row r="177" spans="1:14" ht="12.75" customHeight="1" x14ac:dyDescent="0.25">
      <c r="A177" s="238"/>
      <c r="B177" s="240" t="str">
        <f>"Buchung EAK "&amp;'B-EAK'!B42</f>
        <v>Buchung EAK 2</v>
      </c>
      <c r="C177" s="270" t="str">
        <f>'H-EAK'!K42</f>
        <v xml:space="preserve">Eigenverbrauch </v>
      </c>
      <c r="D177" s="263" t="str">
        <f>IF('H-EAK'!D42="","",'H-EAK'!D42)</f>
        <v xml:space="preserve"> 96000: Eigenverbrauch Schafmilchprodukte, 1 499,-, xxxx</v>
      </c>
      <c r="E177" s="264" t="s">
        <v>154</v>
      </c>
      <c r="F177" s="264"/>
      <c r="G177" s="238"/>
      <c r="H177" s="265" t="str">
        <f t="shared" ref="H177:H240" si="32">IF(OR(D177="",TYPE(VLOOKUP(MID(D177,1,FIND(": ",D177,1)-1)&amp;C177,B_EAK,2,0))=16),"",VLOOKUP(MID(D177,1,FIND(": ",D177,1)-1)&amp;C177,B_EAK,2,0))</f>
        <v/>
      </c>
      <c r="I177" s="261" t="str">
        <f t="shared" ref="I177:I240" si="33">IF(AND(D177="",H177=""),"",IF(H177=D177,"Richtig!",IF(H177="","Fehlt","Falsch")))</f>
        <v>Fehlt</v>
      </c>
      <c r="J177" s="266">
        <f t="shared" si="29"/>
        <v>0</v>
      </c>
      <c r="K177" s="258" t="s">
        <v>155</v>
      </c>
      <c r="L177" s="258">
        <f t="shared" si="30"/>
        <v>1</v>
      </c>
      <c r="M177" s="386" t="str">
        <f t="shared" si="31"/>
        <v>│ 96000: Eigenverbrauch Schafmilchprodukte, 1 499,-, xxxx│                         │----------│</v>
      </c>
      <c r="N177" s="259" t="str">
        <f t="shared" si="23"/>
        <v>x</v>
      </c>
    </row>
    <row r="178" spans="1:14" ht="12.75" hidden="1" customHeight="1" x14ac:dyDescent="0.25">
      <c r="A178" s="238"/>
      <c r="B178" s="240" t="str">
        <f>"Buchung EAK "&amp;'B-EAK'!B43</f>
        <v>Buchung EAK 3</v>
      </c>
      <c r="C178" s="270" t="str">
        <f>'H-EAK'!K43</f>
        <v/>
      </c>
      <c r="D178" s="263" t="str">
        <f>IF('H-EAK'!D43="","",'H-EAK'!D43)</f>
        <v/>
      </c>
      <c r="E178" s="264" t="s">
        <v>154</v>
      </c>
      <c r="F178" s="264"/>
      <c r="G178" s="238"/>
      <c r="H178" s="265" t="str">
        <f t="shared" si="32"/>
        <v/>
      </c>
      <c r="I178" s="261" t="str">
        <f t="shared" si="33"/>
        <v/>
      </c>
      <c r="J178" s="266" t="str">
        <f t="shared" si="29"/>
        <v>-</v>
      </c>
      <c r="K178" s="258" t="s">
        <v>155</v>
      </c>
      <c r="L178" s="258" t="str">
        <f t="shared" si="30"/>
        <v>-</v>
      </c>
      <c r="M178" s="386" t="str">
        <f t="shared" si="31"/>
        <v>│----------│----------│</v>
      </c>
      <c r="N178" s="259" t="str">
        <f t="shared" si="23"/>
        <v>x</v>
      </c>
    </row>
    <row r="179" spans="1:14" ht="12.75" customHeight="1" x14ac:dyDescent="0.25">
      <c r="A179" s="238"/>
      <c r="B179" s="240" t="str">
        <f>"Buchung EAK "&amp;'B-EAK'!B44</f>
        <v>Buchung EAK 4</v>
      </c>
      <c r="C179" s="270" t="str">
        <f>'H-EAK'!K44</f>
        <v>SALDO</v>
      </c>
      <c r="D179" s="263" t="str">
        <f>IF('H-EAK'!D44="","",'H-EAK'!D44)</f>
        <v xml:space="preserve"> 96000: SALDO, xxxx, 12 291,-</v>
      </c>
      <c r="E179" s="264" t="s">
        <v>154</v>
      </c>
      <c r="F179" s="264"/>
      <c r="G179" s="238"/>
      <c r="H179" s="265" t="str">
        <f t="shared" si="32"/>
        <v/>
      </c>
      <c r="I179" s="261" t="str">
        <f t="shared" si="33"/>
        <v>Fehlt</v>
      </c>
      <c r="J179" s="266">
        <f t="shared" si="29"/>
        <v>0</v>
      </c>
      <c r="K179" s="258" t="s">
        <v>155</v>
      </c>
      <c r="L179" s="258">
        <f t="shared" si="30"/>
        <v>1</v>
      </c>
      <c r="M179" s="386" t="str">
        <f t="shared" si="31"/>
        <v>│ 96000: SALDO, xxxx, 12 291,-│                         │----------│</v>
      </c>
      <c r="N179" s="259" t="str">
        <f t="shared" si="23"/>
        <v>x</v>
      </c>
    </row>
    <row r="180" spans="1:14" ht="12.75" customHeight="1" x14ac:dyDescent="0.25">
      <c r="A180" s="238"/>
      <c r="B180" s="240" t="str">
        <f>"Buchung EAK "&amp;'B-EAK'!B45</f>
        <v>Buchung EAK 5</v>
      </c>
      <c r="C180" s="270" t="str">
        <f>'H-EAK'!K45</f>
        <v>Summe</v>
      </c>
      <c r="D180" s="263" t="str">
        <f>IF('H-EAK'!D45="","",'H-EAK'!D45)</f>
        <v xml:space="preserve"> 96000: Summe, 12 291,-, 12 291,-</v>
      </c>
      <c r="E180" s="264" t="s">
        <v>154</v>
      </c>
      <c r="F180" s="264"/>
      <c r="G180" s="238"/>
      <c r="H180" s="265" t="str">
        <f t="shared" si="32"/>
        <v/>
      </c>
      <c r="I180" s="261" t="str">
        <f t="shared" si="33"/>
        <v>Fehlt</v>
      </c>
      <c r="J180" s="266">
        <f t="shared" si="29"/>
        <v>0</v>
      </c>
      <c r="K180" s="258" t="s">
        <v>155</v>
      </c>
      <c r="L180" s="258">
        <f t="shared" si="30"/>
        <v>1</v>
      </c>
      <c r="M180" s="386" t="str">
        <f t="shared" si="31"/>
        <v>│ 96000: Summe, 12 291,-, 12 291,-│                         │----------│</v>
      </c>
      <c r="N180" s="259" t="str">
        <f t="shared" si="23"/>
        <v>x</v>
      </c>
    </row>
    <row r="181" spans="1:14" ht="12.75" customHeight="1" x14ac:dyDescent="0.25">
      <c r="A181" s="238"/>
      <c r="B181" s="240" t="str">
        <f>"Buchung EAK "&amp;'B-EAK'!B46</f>
        <v>Buchung EAK 6</v>
      </c>
      <c r="C181" s="270" t="str">
        <f>'H-EAK'!K46</f>
        <v>AB Maschinen</v>
      </c>
      <c r="D181" s="263" t="str">
        <f>IF('H-EAK'!D46="","",'H-EAK'!D46)</f>
        <v xml:space="preserve"> 98000: AB Maschinen, xxxx, 91 917,-</v>
      </c>
      <c r="E181" s="264" t="s">
        <v>154</v>
      </c>
      <c r="F181" s="264"/>
      <c r="G181" s="238"/>
      <c r="H181" s="265" t="str">
        <f t="shared" si="32"/>
        <v/>
      </c>
      <c r="I181" s="261" t="str">
        <f t="shared" si="33"/>
        <v>Fehlt</v>
      </c>
      <c r="J181" s="266">
        <f t="shared" si="29"/>
        <v>0</v>
      </c>
      <c r="K181" s="258" t="s">
        <v>155</v>
      </c>
      <c r="L181" s="258">
        <f t="shared" si="30"/>
        <v>1</v>
      </c>
      <c r="M181" s="386" t="str">
        <f t="shared" si="31"/>
        <v>│ 98000: AB Maschinen, xxxx, 91 917,-│                         │----------│</v>
      </c>
      <c r="N181" s="259" t="str">
        <f t="shared" si="23"/>
        <v>x</v>
      </c>
    </row>
    <row r="182" spans="1:14" ht="12.75" customHeight="1" x14ac:dyDescent="0.25">
      <c r="A182" s="238"/>
      <c r="B182" s="240" t="str">
        <f>"Buchung EAK "&amp;'B-EAK'!B47</f>
        <v>Buchung EAK 7</v>
      </c>
      <c r="C182" s="270" t="str">
        <f>'H-EAK'!K47</f>
        <v>AB Gebäude</v>
      </c>
      <c r="D182" s="263" t="str">
        <f>IF('H-EAK'!D47="","",'H-EAK'!D47)</f>
        <v xml:space="preserve"> 98000: AB Gebäude, xxxx, 55 448,-</v>
      </c>
      <c r="E182" s="264" t="s">
        <v>154</v>
      </c>
      <c r="F182" s="264"/>
      <c r="G182" s="238"/>
      <c r="H182" s="265" t="str">
        <f t="shared" si="32"/>
        <v/>
      </c>
      <c r="I182" s="261" t="str">
        <f t="shared" si="33"/>
        <v>Fehlt</v>
      </c>
      <c r="J182" s="266">
        <f t="shared" si="29"/>
        <v>0</v>
      </c>
      <c r="K182" s="258" t="s">
        <v>155</v>
      </c>
      <c r="L182" s="258">
        <f t="shared" si="30"/>
        <v>1</v>
      </c>
      <c r="M182" s="386" t="str">
        <f t="shared" si="31"/>
        <v>│ 98000: AB Gebäude, xxxx, 55 448,-│                         │----------│</v>
      </c>
      <c r="N182" s="259" t="str">
        <f t="shared" si="23"/>
        <v>x</v>
      </c>
    </row>
    <row r="183" spans="1:14" ht="12.75" customHeight="1" x14ac:dyDescent="0.25">
      <c r="A183" s="238"/>
      <c r="B183" s="240" t="str">
        <f>"Buchung EAK "&amp;'B-EAK'!B48</f>
        <v>Buchung EAK 8</v>
      </c>
      <c r="C183" s="270" t="str">
        <f>'H-EAK'!K48</f>
        <v>AB Schafe</v>
      </c>
      <c r="D183" s="263" t="str">
        <f>IF('H-EAK'!D48="","",'H-EAK'!D48)</f>
        <v xml:space="preserve"> 98000: AB Schafe, xxxx, 39 446,-</v>
      </c>
      <c r="E183" s="264" t="s">
        <v>154</v>
      </c>
      <c r="F183" s="264"/>
      <c r="G183" s="238"/>
      <c r="H183" s="265" t="str">
        <f t="shared" si="32"/>
        <v/>
      </c>
      <c r="I183" s="261" t="str">
        <f t="shared" si="33"/>
        <v>Fehlt</v>
      </c>
      <c r="J183" s="266">
        <f t="shared" si="29"/>
        <v>0</v>
      </c>
      <c r="K183" s="258" t="s">
        <v>155</v>
      </c>
      <c r="L183" s="258">
        <f t="shared" si="30"/>
        <v>1</v>
      </c>
      <c r="M183" s="386" t="str">
        <f t="shared" si="31"/>
        <v>│ 98000: AB Schafe, xxxx, 39 446,-│                         │----------│</v>
      </c>
      <c r="N183" s="259" t="str">
        <f t="shared" si="23"/>
        <v>x</v>
      </c>
    </row>
    <row r="184" spans="1:14" ht="12.75" customHeight="1" x14ac:dyDescent="0.25">
      <c r="A184" s="238"/>
      <c r="B184" s="240" t="str">
        <f>"Buchung EAK "&amp;'B-EAK'!B49</f>
        <v>Buchung EAK 9</v>
      </c>
      <c r="C184" s="270" t="str">
        <f>'H-EAK'!K49</f>
        <v>AB Vorräte selb</v>
      </c>
      <c r="D184" s="263" t="str">
        <f>IF('H-EAK'!D49="","",'H-EAK'!D49)</f>
        <v xml:space="preserve"> 98000: AB Vorräte selbsterz., xxxx, 2 530,-</v>
      </c>
      <c r="E184" s="264" t="s">
        <v>154</v>
      </c>
      <c r="F184" s="264"/>
      <c r="G184" s="238"/>
      <c r="H184" s="265" t="str">
        <f t="shared" si="32"/>
        <v/>
      </c>
      <c r="I184" s="261" t="str">
        <f t="shared" si="33"/>
        <v>Fehlt</v>
      </c>
      <c r="J184" s="266">
        <f t="shared" si="29"/>
        <v>0</v>
      </c>
      <c r="K184" s="258" t="s">
        <v>155</v>
      </c>
      <c r="L184" s="258">
        <f t="shared" si="30"/>
        <v>1</v>
      </c>
      <c r="M184" s="386" t="str">
        <f t="shared" si="31"/>
        <v>│ 98000: AB Vorräte selbsterz., xxxx, 2 530,-│                         │----------│</v>
      </c>
      <c r="N184" s="259" t="str">
        <f t="shared" si="23"/>
        <v>x</v>
      </c>
    </row>
    <row r="185" spans="1:14" ht="12.75" customHeight="1" x14ac:dyDescent="0.25">
      <c r="A185" s="238"/>
      <c r="B185" s="240" t="str">
        <f>"Buchung EAK "&amp;'B-EAK'!B50</f>
        <v>Buchung EAK 10</v>
      </c>
      <c r="C185" s="270" t="str">
        <f>'H-EAK'!K50</f>
        <v>AB Vorräte zuge</v>
      </c>
      <c r="D185" s="263" t="str">
        <f>IF('H-EAK'!D50="","",'H-EAK'!D50)</f>
        <v xml:space="preserve"> 98000: AB Vorräte zugekaufte, xxxx, 3 349,-</v>
      </c>
      <c r="E185" s="264" t="s">
        <v>154</v>
      </c>
      <c r="F185" s="264"/>
      <c r="G185" s="238"/>
      <c r="H185" s="265" t="str">
        <f t="shared" si="32"/>
        <v/>
      </c>
      <c r="I185" s="261" t="str">
        <f t="shared" si="33"/>
        <v>Fehlt</v>
      </c>
      <c r="J185" s="266">
        <f t="shared" si="29"/>
        <v>0</v>
      </c>
      <c r="K185" s="258" t="s">
        <v>155</v>
      </c>
      <c r="L185" s="258">
        <f t="shared" si="30"/>
        <v>1</v>
      </c>
      <c r="M185" s="386" t="str">
        <f t="shared" si="31"/>
        <v>│ 98000: AB Vorräte zugekaufte, xxxx, 3 349,-│                         │----------│</v>
      </c>
      <c r="N185" s="259" t="str">
        <f t="shared" si="23"/>
        <v>x</v>
      </c>
    </row>
    <row r="186" spans="1:14" ht="12.75" customHeight="1" x14ac:dyDescent="0.25">
      <c r="A186" s="238"/>
      <c r="B186" s="240" t="str">
        <f>"Buchung EAK "&amp;'B-EAK'!B51</f>
        <v>Buchung EAK 11</v>
      </c>
      <c r="C186" s="270" t="str">
        <f>'H-EAK'!K51</f>
        <v>AB Kassa (Barge</v>
      </c>
      <c r="D186" s="263" t="str">
        <f>IF('H-EAK'!D51="","",'H-EAK'!D51)</f>
        <v xml:space="preserve"> 98000: AB Kassa (Bargeld), xxxx, 558,-</v>
      </c>
      <c r="E186" s="264" t="s">
        <v>154</v>
      </c>
      <c r="F186" s="264"/>
      <c r="G186" s="238"/>
      <c r="H186" s="265" t="str">
        <f t="shared" si="32"/>
        <v/>
      </c>
      <c r="I186" s="261" t="str">
        <f t="shared" si="33"/>
        <v>Fehlt</v>
      </c>
      <c r="J186" s="266">
        <f t="shared" si="29"/>
        <v>0</v>
      </c>
      <c r="K186" s="258" t="s">
        <v>155</v>
      </c>
      <c r="L186" s="258">
        <f t="shared" si="30"/>
        <v>1</v>
      </c>
      <c r="M186" s="386" t="str">
        <f t="shared" si="31"/>
        <v>│ 98000: AB Kassa (Bargeld), xxxx, 558,-│                         │----------│</v>
      </c>
      <c r="N186" s="259" t="str">
        <f t="shared" si="23"/>
        <v>x</v>
      </c>
    </row>
    <row r="187" spans="1:14" ht="12.75" customHeight="1" x14ac:dyDescent="0.25">
      <c r="A187" s="238"/>
      <c r="B187" s="240" t="str">
        <f>"Buchung EAK "&amp;'B-EAK'!B52</f>
        <v>Buchung EAK 12</v>
      </c>
      <c r="C187" s="270" t="str">
        <f>'H-EAK'!K52</f>
        <v>AB Giro (Bankgu</v>
      </c>
      <c r="D187" s="263" t="str">
        <f>IF('H-EAK'!D52="","",'H-EAK'!D52)</f>
        <v xml:space="preserve"> 98000: AB Giro (Bankguthaben), xxxx, 30 709,-</v>
      </c>
      <c r="E187" s="264" t="s">
        <v>154</v>
      </c>
      <c r="F187" s="264"/>
      <c r="G187" s="238"/>
      <c r="H187" s="265" t="str">
        <f t="shared" si="32"/>
        <v/>
      </c>
      <c r="I187" s="261" t="str">
        <f t="shared" si="33"/>
        <v>Fehlt</v>
      </c>
      <c r="J187" s="266">
        <f t="shared" si="29"/>
        <v>0</v>
      </c>
      <c r="K187" s="258" t="s">
        <v>155</v>
      </c>
      <c r="L187" s="258">
        <f t="shared" si="30"/>
        <v>1</v>
      </c>
      <c r="M187" s="386" t="str">
        <f t="shared" si="31"/>
        <v>│ 98000: AB Giro (Bankguthaben), xxxx, 30 709,-│                         │----------│</v>
      </c>
      <c r="N187" s="259" t="str">
        <f t="shared" si="23"/>
        <v>x</v>
      </c>
    </row>
    <row r="188" spans="1:14" ht="12.75" customHeight="1" x14ac:dyDescent="0.25">
      <c r="A188" s="238"/>
      <c r="B188" s="240" t="str">
        <f>"Buchung EAK "&amp;'B-EAK'!B53</f>
        <v>Buchung EAK 13</v>
      </c>
      <c r="C188" s="270" t="str">
        <f>'H-EAK'!K53</f>
        <v xml:space="preserve">AB Forderungen
</v>
      </c>
      <c r="D188" s="263" t="str">
        <f>IF('H-EAK'!D53="","",'H-EAK'!D53)</f>
        <v xml:space="preserve"> 98000: AB Forderungen
Metzger Müller, xxxx, 968,-</v>
      </c>
      <c r="E188" s="264" t="s">
        <v>154</v>
      </c>
      <c r="F188" s="264"/>
      <c r="G188" s="238"/>
      <c r="H188" s="265" t="str">
        <f t="shared" si="32"/>
        <v/>
      </c>
      <c r="I188" s="261" t="str">
        <f t="shared" si="33"/>
        <v>Fehlt</v>
      </c>
      <c r="J188" s="266">
        <f t="shared" si="29"/>
        <v>0</v>
      </c>
      <c r="K188" s="258" t="s">
        <v>155</v>
      </c>
      <c r="L188" s="258">
        <f t="shared" si="30"/>
        <v>1</v>
      </c>
      <c r="M188" s="386" t="str">
        <f t="shared" si="31"/>
        <v>│ 98000: AB Forderungen
Metzger Müller, xxxx, 968,-│                         │----------│</v>
      </c>
      <c r="N188" s="259" t="str">
        <f t="shared" si="23"/>
        <v>x</v>
      </c>
    </row>
    <row r="189" spans="1:14" ht="12.75" customHeight="1" x14ac:dyDescent="0.25">
      <c r="A189" s="238"/>
      <c r="B189" s="240" t="str">
        <f>"Buchung EAK "&amp;'B-EAK'!B54</f>
        <v>Buchung EAK 14</v>
      </c>
      <c r="C189" s="270" t="str">
        <f>'H-EAK'!K54</f>
        <v>AB Verbindlichk</v>
      </c>
      <c r="D189" s="263" t="str">
        <f>IF('H-EAK'!D54="","",'H-EAK'!D54)</f>
        <v xml:space="preserve"> 98000: AB Verbindlichkeiten Maschinenring Imst, 4 992,-, xxxx</v>
      </c>
      <c r="E189" s="264" t="s">
        <v>154</v>
      </c>
      <c r="F189" s="264"/>
      <c r="G189" s="238"/>
      <c r="H189" s="265" t="str">
        <f t="shared" si="32"/>
        <v/>
      </c>
      <c r="I189" s="261" t="str">
        <f t="shared" si="33"/>
        <v>Fehlt</v>
      </c>
      <c r="J189" s="266">
        <f t="shared" si="29"/>
        <v>0</v>
      </c>
      <c r="K189" s="258" t="s">
        <v>155</v>
      </c>
      <c r="L189" s="258">
        <f t="shared" si="30"/>
        <v>1</v>
      </c>
      <c r="M189" s="386" t="str">
        <f t="shared" si="31"/>
        <v>│ 98000: AB Verbindlichkeiten Maschinenring Imst, 4 992,-, xxxx│                         │----------│</v>
      </c>
      <c r="N189" s="259" t="str">
        <f t="shared" si="23"/>
        <v>x</v>
      </c>
    </row>
    <row r="190" spans="1:14" ht="12.75" customHeight="1" x14ac:dyDescent="0.25">
      <c r="A190" s="238"/>
      <c r="B190" s="240" t="str">
        <f>"Buchung EAK "&amp;'B-EAK'!B55</f>
        <v>Buchung EAK 15</v>
      </c>
      <c r="C190" s="270" t="str">
        <f>'H-EAK'!K55</f>
        <v>AB Darlehen</v>
      </c>
      <c r="D190" s="263" t="str">
        <f>IF('H-EAK'!D55="","",'H-EAK'!D55)</f>
        <v xml:space="preserve"> 98000: AB Darlehen, 9 303,-, xxxx</v>
      </c>
      <c r="E190" s="264" t="s">
        <v>154</v>
      </c>
      <c r="F190" s="264"/>
      <c r="G190" s="238"/>
      <c r="H190" s="265" t="str">
        <f t="shared" si="32"/>
        <v/>
      </c>
      <c r="I190" s="261" t="str">
        <f t="shared" si="33"/>
        <v>Fehlt</v>
      </c>
      <c r="J190" s="266">
        <f t="shared" si="29"/>
        <v>0</v>
      </c>
      <c r="K190" s="258" t="s">
        <v>155</v>
      </c>
      <c r="L190" s="258">
        <f t="shared" si="30"/>
        <v>1</v>
      </c>
      <c r="M190" s="386" t="str">
        <f t="shared" si="31"/>
        <v>│ 98000: AB Darlehen, 9 303,-, xxxx│                         │----------│</v>
      </c>
      <c r="N190" s="259" t="str">
        <f t="shared" si="23"/>
        <v>x</v>
      </c>
    </row>
    <row r="191" spans="1:14" ht="12.75" hidden="1" customHeight="1" x14ac:dyDescent="0.25">
      <c r="A191" s="238"/>
      <c r="B191" s="240" t="str">
        <f>"Buchung EAK "&amp;'B-EAK'!B56</f>
        <v>Buchung EAK 16</v>
      </c>
      <c r="C191" s="270" t="str">
        <f>'H-EAK'!K56</f>
        <v/>
      </c>
      <c r="D191" s="263" t="str">
        <f>IF('H-EAK'!D56="","",'H-EAK'!D56)</f>
        <v/>
      </c>
      <c r="E191" s="264" t="s">
        <v>154</v>
      </c>
      <c r="F191" s="264"/>
      <c r="G191" s="238"/>
      <c r="H191" s="265" t="str">
        <f t="shared" si="32"/>
        <v/>
      </c>
      <c r="I191" s="261" t="str">
        <f t="shared" si="33"/>
        <v/>
      </c>
      <c r="J191" s="266" t="str">
        <f t="shared" si="29"/>
        <v>-</v>
      </c>
      <c r="K191" s="258" t="s">
        <v>155</v>
      </c>
      <c r="L191" s="258" t="str">
        <f t="shared" si="30"/>
        <v>-</v>
      </c>
      <c r="M191" s="386" t="str">
        <f t="shared" si="31"/>
        <v>│----------│----------│</v>
      </c>
      <c r="N191" s="259" t="str">
        <f t="shared" si="23"/>
        <v>x</v>
      </c>
    </row>
    <row r="192" spans="1:14" ht="12.75" hidden="1" customHeight="1" x14ac:dyDescent="0.25">
      <c r="A192" s="238"/>
      <c r="B192" s="240" t="str">
        <f>"Buchung EAK "&amp;'B-EAK'!B57</f>
        <v>Buchung EAK 17</v>
      </c>
      <c r="C192" s="270" t="str">
        <f>'H-EAK'!K57</f>
        <v/>
      </c>
      <c r="D192" s="263" t="str">
        <f>IF('H-EAK'!D57="","",'H-EAK'!D57)</f>
        <v/>
      </c>
      <c r="E192" s="264" t="s">
        <v>154</v>
      </c>
      <c r="F192" s="264"/>
      <c r="G192" s="238"/>
      <c r="H192" s="265" t="str">
        <f t="shared" si="32"/>
        <v/>
      </c>
      <c r="I192" s="261" t="str">
        <f t="shared" si="33"/>
        <v/>
      </c>
      <c r="J192" s="266" t="str">
        <f t="shared" si="29"/>
        <v>-</v>
      </c>
      <c r="K192" s="258" t="s">
        <v>155</v>
      </c>
      <c r="L192" s="258" t="str">
        <f t="shared" si="30"/>
        <v>-</v>
      </c>
      <c r="M192" s="386" t="str">
        <f t="shared" si="31"/>
        <v>│----------│----------│</v>
      </c>
      <c r="N192" s="259" t="str">
        <f t="shared" si="23"/>
        <v>x</v>
      </c>
    </row>
    <row r="193" spans="1:14" ht="12.75" hidden="1" customHeight="1" x14ac:dyDescent="0.25">
      <c r="A193" s="238"/>
      <c r="B193" s="240" t="str">
        <f>"Buchung EAK "&amp;'B-EAK'!B58</f>
        <v>Buchung EAK 18</v>
      </c>
      <c r="C193" s="270" t="str">
        <f>'H-EAK'!K58</f>
        <v/>
      </c>
      <c r="D193" s="263" t="str">
        <f>IF('H-EAK'!D58="","",'H-EAK'!D58)</f>
        <v/>
      </c>
      <c r="E193" s="264" t="s">
        <v>154</v>
      </c>
      <c r="F193" s="264"/>
      <c r="G193" s="238"/>
      <c r="H193" s="265" t="str">
        <f t="shared" si="32"/>
        <v/>
      </c>
      <c r="I193" s="261" t="str">
        <f t="shared" si="33"/>
        <v/>
      </c>
      <c r="J193" s="266" t="str">
        <f t="shared" si="29"/>
        <v>-</v>
      </c>
      <c r="K193" s="258" t="s">
        <v>155</v>
      </c>
      <c r="L193" s="258" t="str">
        <f t="shared" si="30"/>
        <v>-</v>
      </c>
      <c r="M193" s="386" t="str">
        <f t="shared" si="31"/>
        <v>│----------│----------│</v>
      </c>
      <c r="N193" s="259" t="str">
        <f t="shared" si="23"/>
        <v>x</v>
      </c>
    </row>
    <row r="194" spans="1:14" ht="12.75" hidden="1" customHeight="1" x14ac:dyDescent="0.25">
      <c r="A194" s="238"/>
      <c r="B194" s="240" t="str">
        <f>"Buchung EAK "&amp;'B-EAK'!B59</f>
        <v>Buchung EAK 19</v>
      </c>
      <c r="C194" s="270" t="str">
        <f>'H-EAK'!K59</f>
        <v/>
      </c>
      <c r="D194" s="263" t="str">
        <f>IF('H-EAK'!D59="","",'H-EAK'!D59)</f>
        <v/>
      </c>
      <c r="E194" s="264" t="s">
        <v>154</v>
      </c>
      <c r="F194" s="264"/>
      <c r="G194" s="238"/>
      <c r="H194" s="265" t="str">
        <f t="shared" si="32"/>
        <v/>
      </c>
      <c r="I194" s="261" t="str">
        <f t="shared" si="33"/>
        <v/>
      </c>
      <c r="J194" s="266" t="str">
        <f t="shared" si="29"/>
        <v>-</v>
      </c>
      <c r="K194" s="258" t="s">
        <v>155</v>
      </c>
      <c r="L194" s="258" t="str">
        <f t="shared" si="30"/>
        <v>-</v>
      </c>
      <c r="M194" s="386" t="str">
        <f t="shared" si="31"/>
        <v>│----------│----------│</v>
      </c>
      <c r="N194" s="259" t="str">
        <f t="shared" si="23"/>
        <v>x</v>
      </c>
    </row>
    <row r="195" spans="1:14" ht="12.75" hidden="1" customHeight="1" x14ac:dyDescent="0.25">
      <c r="A195" s="238"/>
      <c r="B195" s="240" t="str">
        <f>"Buchung EAK "&amp;'B-EAK'!B60</f>
        <v>Buchung EAK 20</v>
      </c>
      <c r="C195" s="270" t="str">
        <f>'H-EAK'!K60</f>
        <v/>
      </c>
      <c r="D195" s="263" t="str">
        <f>IF('H-EAK'!D60="","",'H-EAK'!D60)</f>
        <v/>
      </c>
      <c r="E195" s="264" t="s">
        <v>154</v>
      </c>
      <c r="F195" s="264"/>
      <c r="G195" s="238"/>
      <c r="H195" s="265" t="str">
        <f t="shared" si="32"/>
        <v/>
      </c>
      <c r="I195" s="261" t="str">
        <f t="shared" si="33"/>
        <v/>
      </c>
      <c r="J195" s="266" t="str">
        <f t="shared" si="29"/>
        <v>-</v>
      </c>
      <c r="K195" s="258" t="s">
        <v>155</v>
      </c>
      <c r="L195" s="258" t="str">
        <f t="shared" si="30"/>
        <v>-</v>
      </c>
      <c r="M195" s="386" t="str">
        <f t="shared" si="31"/>
        <v>│----------│----------│</v>
      </c>
      <c r="N195" s="259" t="str">
        <f t="shared" si="23"/>
        <v>x</v>
      </c>
    </row>
    <row r="196" spans="1:14" ht="12.75" hidden="1" customHeight="1" x14ac:dyDescent="0.25">
      <c r="A196" s="238"/>
      <c r="B196" s="240" t="str">
        <f>"Buchung EAK "&amp;'B-EAK'!B61</f>
        <v>Buchung EAK 21</v>
      </c>
      <c r="C196" s="270" t="str">
        <f>'H-EAK'!K61</f>
        <v/>
      </c>
      <c r="D196" s="263" t="str">
        <f>IF('H-EAK'!D61="","",'H-EAK'!D61)</f>
        <v/>
      </c>
      <c r="E196" s="264" t="s">
        <v>154</v>
      </c>
      <c r="F196" s="264"/>
      <c r="G196" s="238"/>
      <c r="H196" s="265" t="str">
        <f t="shared" si="32"/>
        <v/>
      </c>
      <c r="I196" s="261" t="str">
        <f t="shared" si="33"/>
        <v/>
      </c>
      <c r="J196" s="266" t="str">
        <f t="shared" si="29"/>
        <v>-</v>
      </c>
      <c r="K196" s="258" t="s">
        <v>155</v>
      </c>
      <c r="L196" s="258" t="str">
        <f t="shared" si="30"/>
        <v>-</v>
      </c>
      <c r="M196" s="386" t="str">
        <f t="shared" si="31"/>
        <v>│----------│----------│</v>
      </c>
      <c r="N196" s="259" t="str">
        <f t="shared" si="23"/>
        <v>x</v>
      </c>
    </row>
    <row r="197" spans="1:14" ht="12.75" customHeight="1" x14ac:dyDescent="0.25">
      <c r="A197" s="238"/>
      <c r="B197" s="240" t="str">
        <f>"Buchung EAK "&amp;'B-EAK'!B62</f>
        <v>Buchung EAK 22</v>
      </c>
      <c r="C197" s="270" t="str">
        <f>'H-EAK'!K62</f>
        <v>SALDO</v>
      </c>
      <c r="D197" s="263" t="str">
        <f>IF('H-EAK'!D62="","",'H-EAK'!D62)</f>
        <v xml:space="preserve"> 98000: SALDO, 210 629,-, xxxx</v>
      </c>
      <c r="E197" s="264" t="s">
        <v>154</v>
      </c>
      <c r="F197" s="264"/>
      <c r="G197" s="238"/>
      <c r="H197" s="265" t="str">
        <f t="shared" si="32"/>
        <v/>
      </c>
      <c r="I197" s="261" t="str">
        <f t="shared" si="33"/>
        <v>Fehlt</v>
      </c>
      <c r="J197" s="266">
        <f t="shared" si="29"/>
        <v>0</v>
      </c>
      <c r="K197" s="258" t="s">
        <v>155</v>
      </c>
      <c r="L197" s="258">
        <f t="shared" si="30"/>
        <v>1</v>
      </c>
      <c r="M197" s="386" t="str">
        <f t="shared" si="31"/>
        <v>│ 98000: SALDO, 210 629,-, xxxx│                         │----------│</v>
      </c>
      <c r="N197" s="259" t="str">
        <f t="shared" si="23"/>
        <v>x</v>
      </c>
    </row>
    <row r="198" spans="1:14" ht="12.75" customHeight="1" x14ac:dyDescent="0.25">
      <c r="A198" s="238"/>
      <c r="B198" s="240" t="str">
        <f>"Buchung EAK "&amp;'B-EAK'!B63</f>
        <v>Buchung EAK 23</v>
      </c>
      <c r="C198" s="270" t="str">
        <f>'H-EAK'!K63</f>
        <v>Summe</v>
      </c>
      <c r="D198" s="263" t="str">
        <f>IF('H-EAK'!D63="","",'H-EAK'!D63)</f>
        <v xml:space="preserve"> 98000: Summe, 224 924,-, 224 924,-</v>
      </c>
      <c r="E198" s="264" t="s">
        <v>154</v>
      </c>
      <c r="F198" s="264"/>
      <c r="G198" s="238"/>
      <c r="H198" s="265" t="str">
        <f t="shared" si="32"/>
        <v/>
      </c>
      <c r="I198" s="261" t="str">
        <f t="shared" si="33"/>
        <v>Fehlt</v>
      </c>
      <c r="J198" s="266">
        <f t="shared" si="29"/>
        <v>0</v>
      </c>
      <c r="K198" s="258" t="s">
        <v>155</v>
      </c>
      <c r="L198" s="258">
        <f t="shared" si="30"/>
        <v>1</v>
      </c>
      <c r="M198" s="386" t="str">
        <f t="shared" si="31"/>
        <v>│ 98000: Summe, 224 924,-, 224 924,-│                         │----------│</v>
      </c>
      <c r="N198" s="259" t="str">
        <f t="shared" si="23"/>
        <v>x</v>
      </c>
    </row>
    <row r="199" spans="1:14" ht="12.75" customHeight="1" x14ac:dyDescent="0.25">
      <c r="A199" s="238"/>
      <c r="B199" s="240" t="str">
        <f>"Buchung EAK "&amp;'B-EAK'!B64</f>
        <v>Buchung EAK 24</v>
      </c>
      <c r="C199" s="270" t="str">
        <f>'H-EAK'!K64</f>
        <v>S. Maschinen un</v>
      </c>
      <c r="D199" s="263" t="str">
        <f>IF('H-EAK'!D64="","",'H-EAK'!D64)</f>
        <v xml:space="preserve"> 98500: S. Maschinen und Geräte, 101 525,-, xxxx</v>
      </c>
      <c r="E199" s="264" t="s">
        <v>154</v>
      </c>
      <c r="F199" s="264"/>
      <c r="G199" s="238"/>
      <c r="H199" s="265" t="str">
        <f t="shared" si="32"/>
        <v/>
      </c>
      <c r="I199" s="261" t="str">
        <f t="shared" si="33"/>
        <v>Fehlt</v>
      </c>
      <c r="J199" s="266">
        <f t="shared" si="29"/>
        <v>0</v>
      </c>
      <c r="K199" s="258" t="s">
        <v>155</v>
      </c>
      <c r="L199" s="258">
        <f t="shared" si="30"/>
        <v>1</v>
      </c>
      <c r="M199" s="386" t="str">
        <f t="shared" si="31"/>
        <v>│ 98500: S. Maschinen und Geräte, 101 525,-, xxxx│                         │----------│</v>
      </c>
      <c r="N199" s="259" t="str">
        <f t="shared" ref="N199:N257" si="34">IF($N$1="","",$N$1)</f>
        <v>x</v>
      </c>
    </row>
    <row r="200" spans="1:14" ht="12.75" customHeight="1" x14ac:dyDescent="0.25">
      <c r="A200" s="238"/>
      <c r="B200" s="240" t="str">
        <f>"Buchung EAK "&amp;'B-EAK'!B65</f>
        <v>Buchung EAK 25</v>
      </c>
      <c r="C200" s="270" t="str">
        <f>'H-EAK'!K65</f>
        <v>S. Betriebs- un</v>
      </c>
      <c r="D200" s="263" t="str">
        <f>IF('H-EAK'!D65="","",'H-EAK'!D65)</f>
        <v xml:space="preserve"> 98500: S. Betriebs- und Geschäftsgebäude, 51 180,-, xxxx</v>
      </c>
      <c r="E200" s="264" t="s">
        <v>154</v>
      </c>
      <c r="F200" s="264"/>
      <c r="G200" s="238"/>
      <c r="H200" s="265" t="str">
        <f t="shared" si="32"/>
        <v/>
      </c>
      <c r="I200" s="261" t="str">
        <f t="shared" si="33"/>
        <v>Fehlt</v>
      </c>
      <c r="J200" s="266">
        <f t="shared" si="29"/>
        <v>0</v>
      </c>
      <c r="K200" s="258" t="s">
        <v>155</v>
      </c>
      <c r="L200" s="258">
        <f t="shared" si="30"/>
        <v>1</v>
      </c>
      <c r="M200" s="386" t="str">
        <f t="shared" si="31"/>
        <v>│ 98500: S. Betriebs- und Geschäftsgebäude, 51 180,-, xxxx│                         │----------│</v>
      </c>
      <c r="N200" s="259" t="str">
        <f t="shared" si="34"/>
        <v>x</v>
      </c>
    </row>
    <row r="201" spans="1:14" ht="12.75" customHeight="1" x14ac:dyDescent="0.25">
      <c r="A201" s="238"/>
      <c r="B201" s="240" t="str">
        <f>"Buchung EAK "&amp;'B-EAK'!B66</f>
        <v>Buchung EAK 26</v>
      </c>
      <c r="C201" s="270" t="str">
        <f>'H-EAK'!K66</f>
        <v>S. Kassa</v>
      </c>
      <c r="D201" s="263" t="str">
        <f>IF('H-EAK'!D66="","",'H-EAK'!D66)</f>
        <v xml:space="preserve"> 98500: S. Kassa, 5 061,-, xxxx</v>
      </c>
      <c r="E201" s="264" t="s">
        <v>154</v>
      </c>
      <c r="F201" s="264"/>
      <c r="G201" s="238"/>
      <c r="H201" s="265" t="str">
        <f t="shared" si="32"/>
        <v/>
      </c>
      <c r="I201" s="261" t="str">
        <f t="shared" si="33"/>
        <v>Fehlt</v>
      </c>
      <c r="J201" s="266">
        <f t="shared" si="29"/>
        <v>0</v>
      </c>
      <c r="K201" s="258" t="s">
        <v>155</v>
      </c>
      <c r="L201" s="258">
        <f t="shared" si="30"/>
        <v>1</v>
      </c>
      <c r="M201" s="386" t="str">
        <f t="shared" si="31"/>
        <v>│ 98500: S. Kassa, 5 061,-, xxxx│                         │----------│</v>
      </c>
      <c r="N201" s="259" t="str">
        <f t="shared" si="34"/>
        <v>x</v>
      </c>
    </row>
    <row r="202" spans="1:14" ht="12.75" customHeight="1" x14ac:dyDescent="0.25">
      <c r="A202" s="238"/>
      <c r="B202" s="240" t="str">
        <f>"Buchung EAK "&amp;'B-EAK'!B67</f>
        <v>Buchung EAK 27</v>
      </c>
      <c r="C202" s="270" t="str">
        <f>'H-EAK'!K67</f>
        <v>S. Bank - betri</v>
      </c>
      <c r="D202" s="263" t="str">
        <f>IF('H-EAK'!D67="","",'H-EAK'!D67)</f>
        <v xml:space="preserve"> 98500: S. Bank - betrieblich 1, 237,-, xxxx</v>
      </c>
      <c r="E202" s="264" t="s">
        <v>154</v>
      </c>
      <c r="F202" s="264"/>
      <c r="G202" s="238"/>
      <c r="H202" s="265" t="str">
        <f t="shared" si="32"/>
        <v/>
      </c>
      <c r="I202" s="261" t="str">
        <f t="shared" si="33"/>
        <v>Fehlt</v>
      </c>
      <c r="J202" s="266">
        <f t="shared" si="29"/>
        <v>0</v>
      </c>
      <c r="K202" s="258" t="s">
        <v>155</v>
      </c>
      <c r="L202" s="258">
        <f t="shared" si="30"/>
        <v>1</v>
      </c>
      <c r="M202" s="386" t="str">
        <f t="shared" si="31"/>
        <v>│ 98500: S. Bank - betrieblich 1, 237,-, xxxx│                         │----------│</v>
      </c>
      <c r="N202" s="259" t="str">
        <f t="shared" si="34"/>
        <v>x</v>
      </c>
    </row>
    <row r="203" spans="1:14" ht="12.75" customHeight="1" x14ac:dyDescent="0.25">
      <c r="A203" s="238"/>
      <c r="B203" s="240" t="str">
        <f>"Buchung EAK "&amp;'B-EAK'!B68</f>
        <v>Buchung EAK 28</v>
      </c>
      <c r="C203" s="270" t="str">
        <f>'H-EAK'!K68</f>
        <v>S. Darlehen - b</v>
      </c>
      <c r="D203" s="263" t="str">
        <f>IF('H-EAK'!D68="","",'H-EAK'!D68)</f>
        <v xml:space="preserve"> 98500: S. Darlehen - betrieblich, xxxx, 7 964,-</v>
      </c>
      <c r="E203" s="264" t="s">
        <v>154</v>
      </c>
      <c r="F203" s="264"/>
      <c r="G203" s="238"/>
      <c r="H203" s="265" t="str">
        <f t="shared" si="32"/>
        <v/>
      </c>
      <c r="I203" s="261" t="str">
        <f t="shared" si="33"/>
        <v>Fehlt</v>
      </c>
      <c r="J203" s="266">
        <f t="shared" si="29"/>
        <v>0</v>
      </c>
      <c r="K203" s="258" t="s">
        <v>155</v>
      </c>
      <c r="L203" s="258">
        <f t="shared" si="30"/>
        <v>1</v>
      </c>
      <c r="M203" s="386" t="str">
        <f t="shared" si="31"/>
        <v>│ 98500: S. Darlehen - betrieblich, xxxx, 7 964,-│                         │----------│</v>
      </c>
      <c r="N203" s="259" t="str">
        <f t="shared" si="34"/>
        <v>x</v>
      </c>
    </row>
    <row r="204" spans="1:14" ht="12.75" customHeight="1" x14ac:dyDescent="0.25">
      <c r="A204" s="238"/>
      <c r="B204" s="240" t="str">
        <f>"Buchung EAK "&amp;'B-EAK'!B69</f>
        <v>Buchung EAK 29</v>
      </c>
      <c r="C204" s="270" t="str">
        <f>'H-EAK'!K69</f>
        <v>S. Bestand Vieh</v>
      </c>
      <c r="D204" s="263" t="str">
        <f>IF('H-EAK'!D69="","",'H-EAK'!D69)</f>
        <v xml:space="preserve"> 98500: S. Bestand Vieh, 39 949,-, xxxx</v>
      </c>
      <c r="E204" s="264" t="s">
        <v>154</v>
      </c>
      <c r="F204" s="264"/>
      <c r="G204" s="238"/>
      <c r="H204" s="265" t="str">
        <f t="shared" si="32"/>
        <v/>
      </c>
      <c r="I204" s="261" t="str">
        <f t="shared" si="33"/>
        <v>Fehlt</v>
      </c>
      <c r="J204" s="266">
        <f t="shared" si="29"/>
        <v>0</v>
      </c>
      <c r="K204" s="258" t="s">
        <v>155</v>
      </c>
      <c r="L204" s="258">
        <f t="shared" si="30"/>
        <v>1</v>
      </c>
      <c r="M204" s="386" t="str">
        <f t="shared" si="31"/>
        <v>│ 98500: S. Bestand Vieh, 39 949,-, xxxx│                         │----------│</v>
      </c>
      <c r="N204" s="259" t="str">
        <f t="shared" si="34"/>
        <v>x</v>
      </c>
    </row>
    <row r="205" spans="1:14" ht="12.75" customHeight="1" x14ac:dyDescent="0.25">
      <c r="A205" s="238"/>
      <c r="B205" s="240" t="str">
        <f>"Buchung EAK "&amp;'B-EAK'!B70</f>
        <v>Buchung EAK 30</v>
      </c>
      <c r="C205" s="270" t="str">
        <f>'H-EAK'!K70</f>
        <v>S. Selbst erzeu</v>
      </c>
      <c r="D205" s="263" t="str">
        <f>IF('H-EAK'!D70="","",'H-EAK'!D70)</f>
        <v xml:space="preserve"> 98500: S. Selbst erzeugte Vorräte, 1 488,-, xxxx</v>
      </c>
      <c r="E205" s="264" t="s">
        <v>154</v>
      </c>
      <c r="F205" s="264"/>
      <c r="G205" s="238"/>
      <c r="H205" s="265" t="str">
        <f t="shared" si="32"/>
        <v/>
      </c>
      <c r="I205" s="261" t="str">
        <f t="shared" si="33"/>
        <v>Fehlt</v>
      </c>
      <c r="J205" s="266">
        <f t="shared" si="29"/>
        <v>0</v>
      </c>
      <c r="K205" s="258" t="s">
        <v>155</v>
      </c>
      <c r="L205" s="258">
        <f t="shared" si="30"/>
        <v>1</v>
      </c>
      <c r="M205" s="386" t="str">
        <f t="shared" si="31"/>
        <v>│ 98500: S. Selbst erzeugte Vorräte, 1 488,-, xxxx│                         │----------│</v>
      </c>
      <c r="N205" s="259" t="str">
        <f t="shared" si="34"/>
        <v>x</v>
      </c>
    </row>
    <row r="206" spans="1:14" ht="12.75" customHeight="1" x14ac:dyDescent="0.25">
      <c r="A206" s="238"/>
      <c r="B206" s="240" t="str">
        <f>"Buchung EAK "&amp;'B-EAK'!B71</f>
        <v>Buchung EAK 31</v>
      </c>
      <c r="C206" s="270" t="str">
        <f>'H-EAK'!K71</f>
        <v>S. Zugekaufte V</v>
      </c>
      <c r="D206" s="263" t="str">
        <f>IF('H-EAK'!D71="","",'H-EAK'!D71)</f>
        <v xml:space="preserve"> 98500: S. Zugekaufte Vorräte 20%, 3 609,-, xxxx</v>
      </c>
      <c r="E206" s="264" t="s">
        <v>154</v>
      </c>
      <c r="F206" s="264"/>
      <c r="G206" s="238"/>
      <c r="H206" s="265" t="str">
        <f t="shared" si="32"/>
        <v/>
      </c>
      <c r="I206" s="261" t="str">
        <f t="shared" si="33"/>
        <v>Fehlt</v>
      </c>
      <c r="J206" s="266">
        <f t="shared" si="29"/>
        <v>0</v>
      </c>
      <c r="K206" s="258" t="s">
        <v>155</v>
      </c>
      <c r="L206" s="258">
        <f t="shared" si="30"/>
        <v>1</v>
      </c>
      <c r="M206" s="386" t="str">
        <f t="shared" si="31"/>
        <v>│ 98500: S. Zugekaufte Vorräte 20%, 3 609,-, xxxx│                         │----------│</v>
      </c>
      <c r="N206" s="259" t="str">
        <f t="shared" si="34"/>
        <v>x</v>
      </c>
    </row>
    <row r="207" spans="1:14" ht="12.75" hidden="1" customHeight="1" x14ac:dyDescent="0.25">
      <c r="A207" s="238"/>
      <c r="B207" s="240" t="str">
        <f>"Buchung EAK "&amp;'B-EAK'!B72</f>
        <v>Buchung EAK 32</v>
      </c>
      <c r="C207" s="270" t="str">
        <f>'H-EAK'!K72</f>
        <v/>
      </c>
      <c r="D207" s="263" t="str">
        <f>IF('H-EAK'!D72="","",'H-EAK'!D72)</f>
        <v/>
      </c>
      <c r="E207" s="264" t="s">
        <v>154</v>
      </c>
      <c r="F207" s="264"/>
      <c r="G207" s="238"/>
      <c r="H207" s="265" t="str">
        <f t="shared" si="32"/>
        <v/>
      </c>
      <c r="I207" s="261" t="str">
        <f t="shared" si="33"/>
        <v/>
      </c>
      <c r="J207" s="266" t="str">
        <f t="shared" si="29"/>
        <v>-</v>
      </c>
      <c r="K207" s="258" t="s">
        <v>155</v>
      </c>
      <c r="L207" s="258" t="str">
        <f t="shared" si="30"/>
        <v>-</v>
      </c>
      <c r="M207" s="386" t="str">
        <f t="shared" si="31"/>
        <v>│----------│----------│</v>
      </c>
      <c r="N207" s="259" t="str">
        <f t="shared" si="34"/>
        <v>x</v>
      </c>
    </row>
    <row r="208" spans="1:14" ht="12.75" hidden="1" customHeight="1" x14ac:dyDescent="0.25">
      <c r="A208" s="238"/>
      <c r="B208" s="240" t="str">
        <f>"Buchung EAK "&amp;'B-EAK'!B73</f>
        <v>Buchung EAK 33</v>
      </c>
      <c r="C208" s="270" t="str">
        <f>'H-EAK'!K73</f>
        <v/>
      </c>
      <c r="D208" s="263" t="str">
        <f>IF('H-EAK'!D73="","",'H-EAK'!D73)</f>
        <v/>
      </c>
      <c r="E208" s="264" t="s">
        <v>154</v>
      </c>
      <c r="F208" s="264"/>
      <c r="G208" s="238"/>
      <c r="H208" s="265" t="str">
        <f t="shared" si="32"/>
        <v/>
      </c>
      <c r="I208" s="261" t="str">
        <f t="shared" si="33"/>
        <v/>
      </c>
      <c r="J208" s="266" t="str">
        <f t="shared" ref="J208:J239" si="35">IF(OR($N78&lt;&gt;"x",AND(D208="",H208="")),"-",IF(I208="Richtig!",1,IF(I208="Formel: OK",0.5,IF(OR(I208="Falsch",I208="Fehlt"),0,""))))</f>
        <v>-</v>
      </c>
      <c r="K208" s="258" t="s">
        <v>155</v>
      </c>
      <c r="L208" s="258" t="str">
        <f t="shared" ref="L208:L239" si="36">IF(OR($N78&lt;&gt;"x",AND(D208="",H208="")),"-",1)</f>
        <v>-</v>
      </c>
      <c r="M208" s="386" t="str">
        <f t="shared" ref="M208:M241" si="37">IF(D208="","│----------│","│"&amp;D208&amp;"│                         │")&amp;IF(H208="","----------│",H208&amp;"│")</f>
        <v>│----------│----------│</v>
      </c>
      <c r="N208" s="259" t="str">
        <f t="shared" si="34"/>
        <v>x</v>
      </c>
    </row>
    <row r="209" spans="1:14" ht="12.75" hidden="1" customHeight="1" x14ac:dyDescent="0.25">
      <c r="A209" s="238"/>
      <c r="B209" s="240" t="str">
        <f>"Buchung EAK "&amp;'B-EAK'!B74</f>
        <v>Buchung EAK 34</v>
      </c>
      <c r="C209" s="270" t="str">
        <f>'H-EAK'!K74</f>
        <v/>
      </c>
      <c r="D209" s="263" t="str">
        <f>IF('H-EAK'!D74="","",'H-EAK'!D74)</f>
        <v/>
      </c>
      <c r="E209" s="264" t="s">
        <v>154</v>
      </c>
      <c r="F209" s="264"/>
      <c r="G209" s="238"/>
      <c r="H209" s="265" t="str">
        <f t="shared" si="32"/>
        <v/>
      </c>
      <c r="I209" s="261" t="str">
        <f t="shared" si="33"/>
        <v/>
      </c>
      <c r="J209" s="266" t="str">
        <f t="shared" si="35"/>
        <v>-</v>
      </c>
      <c r="K209" s="258" t="s">
        <v>155</v>
      </c>
      <c r="L209" s="258" t="str">
        <f t="shared" si="36"/>
        <v>-</v>
      </c>
      <c r="M209" s="386" t="str">
        <f t="shared" si="37"/>
        <v>│----------│----------│</v>
      </c>
      <c r="N209" s="259" t="str">
        <f t="shared" si="34"/>
        <v>x</v>
      </c>
    </row>
    <row r="210" spans="1:14" ht="12.75" hidden="1" customHeight="1" x14ac:dyDescent="0.25">
      <c r="A210" s="238"/>
      <c r="B210" s="240" t="str">
        <f>"Buchung EAK "&amp;'B-EAK'!B75</f>
        <v>Buchung EAK 35</v>
      </c>
      <c r="C210" s="270" t="str">
        <f>'H-EAK'!K75</f>
        <v/>
      </c>
      <c r="D210" s="263" t="str">
        <f>IF('H-EAK'!D75="","",'H-EAK'!D75)</f>
        <v/>
      </c>
      <c r="E210" s="264" t="s">
        <v>154</v>
      </c>
      <c r="F210" s="264"/>
      <c r="G210" s="238"/>
      <c r="H210" s="265" t="str">
        <f t="shared" si="32"/>
        <v/>
      </c>
      <c r="I210" s="261" t="str">
        <f t="shared" si="33"/>
        <v/>
      </c>
      <c r="J210" s="266" t="str">
        <f t="shared" si="35"/>
        <v>-</v>
      </c>
      <c r="K210" s="258" t="s">
        <v>155</v>
      </c>
      <c r="L210" s="258" t="str">
        <f t="shared" si="36"/>
        <v>-</v>
      </c>
      <c r="M210" s="386" t="str">
        <f t="shared" si="37"/>
        <v>│----------│----------│</v>
      </c>
      <c r="N210" s="259" t="str">
        <f t="shared" si="34"/>
        <v>x</v>
      </c>
    </row>
    <row r="211" spans="1:14" ht="12.75" hidden="1" customHeight="1" x14ac:dyDescent="0.25">
      <c r="A211" s="238"/>
      <c r="B211" s="240" t="str">
        <f>"Buchung EAK "&amp;'B-EAK'!B76</f>
        <v>Buchung EAK 36</v>
      </c>
      <c r="C211" s="270" t="str">
        <f>'H-EAK'!K76</f>
        <v/>
      </c>
      <c r="D211" s="263" t="str">
        <f>IF('H-EAK'!D76="","",'H-EAK'!D76)</f>
        <v/>
      </c>
      <c r="E211" s="264" t="s">
        <v>154</v>
      </c>
      <c r="F211" s="264"/>
      <c r="G211" s="238"/>
      <c r="H211" s="265" t="str">
        <f t="shared" si="32"/>
        <v/>
      </c>
      <c r="I211" s="261" t="str">
        <f t="shared" si="33"/>
        <v/>
      </c>
      <c r="J211" s="266" t="str">
        <f t="shared" si="35"/>
        <v>-</v>
      </c>
      <c r="K211" s="258" t="s">
        <v>155</v>
      </c>
      <c r="L211" s="258" t="str">
        <f t="shared" si="36"/>
        <v>-</v>
      </c>
      <c r="M211" s="386" t="str">
        <f t="shared" si="37"/>
        <v>│----------│----------│</v>
      </c>
      <c r="N211" s="259" t="str">
        <f t="shared" si="34"/>
        <v>x</v>
      </c>
    </row>
    <row r="212" spans="1:14" ht="12.75" customHeight="1" x14ac:dyDescent="0.25">
      <c r="A212" s="238"/>
      <c r="B212" s="240" t="str">
        <f>"Buchung EAK "&amp;'B-EAK'!B77</f>
        <v>Buchung EAK 37</v>
      </c>
      <c r="C212" s="270" t="str">
        <f>'H-EAK'!K77</f>
        <v>SALDO</v>
      </c>
      <c r="D212" s="263" t="str">
        <f>IF('H-EAK'!D77="","",'H-EAK'!D77)</f>
        <v xml:space="preserve"> 98500: SALDO, xxxx, 195 085,-</v>
      </c>
      <c r="E212" s="264" t="s">
        <v>154</v>
      </c>
      <c r="F212" s="264"/>
      <c r="G212" s="238"/>
      <c r="H212" s="265" t="str">
        <f t="shared" si="32"/>
        <v/>
      </c>
      <c r="I212" s="261" t="str">
        <f t="shared" si="33"/>
        <v>Fehlt</v>
      </c>
      <c r="J212" s="266">
        <f t="shared" si="35"/>
        <v>0</v>
      </c>
      <c r="K212" s="258" t="s">
        <v>155</v>
      </c>
      <c r="L212" s="258">
        <f t="shared" si="36"/>
        <v>1</v>
      </c>
      <c r="M212" s="386" t="str">
        <f t="shared" si="37"/>
        <v>│ 98500: SALDO, xxxx, 195 085,-│                         │----------│</v>
      </c>
      <c r="N212" s="259" t="str">
        <f t="shared" si="34"/>
        <v>x</v>
      </c>
    </row>
    <row r="213" spans="1:14" ht="12.75" customHeight="1" x14ac:dyDescent="0.25">
      <c r="A213" s="238"/>
      <c r="B213" s="240" t="str">
        <f>"Buchung EAK "&amp;'B-EAK'!B78</f>
        <v>Buchung EAK 38</v>
      </c>
      <c r="C213" s="270" t="str">
        <f>'H-EAK'!K78</f>
        <v>Summe</v>
      </c>
      <c r="D213" s="263" t="str">
        <f>IF('H-EAK'!D78="","",'H-EAK'!D78)</f>
        <v xml:space="preserve"> 98500: Summe, 203 049,-, 203 049,-</v>
      </c>
      <c r="E213" s="264" t="s">
        <v>154</v>
      </c>
      <c r="F213" s="264"/>
      <c r="G213" s="238"/>
      <c r="H213" s="265" t="str">
        <f t="shared" si="32"/>
        <v/>
      </c>
      <c r="I213" s="261" t="str">
        <f t="shared" si="33"/>
        <v>Fehlt</v>
      </c>
      <c r="J213" s="266">
        <f t="shared" si="35"/>
        <v>0</v>
      </c>
      <c r="K213" s="258" t="s">
        <v>155</v>
      </c>
      <c r="L213" s="258">
        <f t="shared" si="36"/>
        <v>1</v>
      </c>
      <c r="M213" s="386" t="str">
        <f t="shared" si="37"/>
        <v>│ 98500: Summe, 203 049,-, 203 049,-│                         │----------│</v>
      </c>
      <c r="N213" s="259" t="str">
        <f t="shared" si="34"/>
        <v>x</v>
      </c>
    </row>
    <row r="214" spans="1:14" ht="12.75" customHeight="1" x14ac:dyDescent="0.25">
      <c r="A214" s="238"/>
      <c r="B214" s="240" t="str">
        <f>"Buchung EAK "&amp;'B-EAK'!B79</f>
        <v>Buchung EAK 39</v>
      </c>
      <c r="C214" s="270" t="str">
        <f>'H-EAK'!K79</f>
        <v>S.  98000 (Eröf</v>
      </c>
      <c r="D214" s="263" t="str">
        <f>IF('H-EAK'!D79="","",'H-EAK'!D79)</f>
        <v xml:space="preserve"> 90000: AB, 31.12., S.  98000 (Eröffnungsbilanzkonto (EBK)), xxxx, 210 629,-</v>
      </c>
      <c r="E214" s="264" t="s">
        <v>154</v>
      </c>
      <c r="F214" s="264"/>
      <c r="G214" s="238"/>
      <c r="H214" s="265" t="str">
        <f t="shared" si="32"/>
        <v/>
      </c>
      <c r="I214" s="261" t="str">
        <f t="shared" si="33"/>
        <v>Fehlt</v>
      </c>
      <c r="J214" s="266">
        <f t="shared" si="35"/>
        <v>0</v>
      </c>
      <c r="K214" s="258" t="s">
        <v>155</v>
      </c>
      <c r="L214" s="258">
        <f t="shared" si="36"/>
        <v>1</v>
      </c>
      <c r="M214" s="386" t="str">
        <f t="shared" si="37"/>
        <v>│ 90000: AB, 31.12., S.  98000 (Eröffnungsbilanzkonto (EBK)), xxxx, 210 629,-│                         │----------│</v>
      </c>
      <c r="N214" s="259" t="str">
        <f t="shared" si="34"/>
        <v>x</v>
      </c>
    </row>
    <row r="215" spans="1:14" ht="12.75" customHeight="1" x14ac:dyDescent="0.25">
      <c r="A215" s="238"/>
      <c r="B215" s="240" t="str">
        <f>"Buchung EAK "&amp;'B-EAK'!B80</f>
        <v>Buchung EAK 55</v>
      </c>
      <c r="C215" s="270" t="str">
        <f>'H-EAK'!K80</f>
        <v>S.  98500 (Schl</v>
      </c>
      <c r="D215" s="263" t="str">
        <f>IF('H-EAK'!D80="","",'H-EAK'!D80)</f>
        <v xml:space="preserve"> 90000: AB, 31.12., S.  98500 (Schlussbilanzkonto (SBK)), 195 085,-, xxxx</v>
      </c>
      <c r="E215" s="264" t="s">
        <v>154</v>
      </c>
      <c r="F215" s="264"/>
      <c r="G215" s="238"/>
      <c r="H215" s="265" t="str">
        <f t="shared" si="32"/>
        <v/>
      </c>
      <c r="I215" s="261" t="str">
        <f t="shared" si="33"/>
        <v>Fehlt</v>
      </c>
      <c r="J215" s="266">
        <f t="shared" si="35"/>
        <v>0</v>
      </c>
      <c r="K215" s="258" t="s">
        <v>155</v>
      </c>
      <c r="L215" s="258">
        <f t="shared" si="36"/>
        <v>1</v>
      </c>
      <c r="M215" s="386" t="str">
        <f t="shared" si="37"/>
        <v>│ 90000: AB, 31.12., S.  98500 (Schlussbilanzkonto (SBK)), 195 085,-, xxxx│                         │----------│</v>
      </c>
      <c r="N215" s="259" t="str">
        <f t="shared" si="34"/>
        <v>x</v>
      </c>
    </row>
    <row r="216" spans="1:14" ht="12.75" customHeight="1" x14ac:dyDescent="0.25">
      <c r="A216" s="238"/>
      <c r="B216" s="240" t="str">
        <f>"Buchung EAK "&amp;'B-EAK'!B81</f>
        <v>Buchung EAK 56</v>
      </c>
      <c r="C216" s="270" t="str">
        <f>'H-EAK'!K81</f>
        <v>S.  96000 (Priv</v>
      </c>
      <c r="D216" s="263" t="str">
        <f>IF('H-EAK'!D81="","",'H-EAK'!D81)</f>
        <v xml:space="preserve"> 90000: AB, 31.12., S.  96000 (Privat), 12 291,-, xxxx</v>
      </c>
      <c r="E216" s="264" t="s">
        <v>154</v>
      </c>
      <c r="F216" s="264"/>
      <c r="G216" s="238"/>
      <c r="H216" s="265" t="str">
        <f t="shared" si="32"/>
        <v/>
      </c>
      <c r="I216" s="261" t="str">
        <f t="shared" si="33"/>
        <v>Fehlt</v>
      </c>
      <c r="J216" s="266">
        <f t="shared" si="35"/>
        <v>0</v>
      </c>
      <c r="K216" s="258" t="s">
        <v>155</v>
      </c>
      <c r="L216" s="258">
        <f t="shared" si="36"/>
        <v>1</v>
      </c>
      <c r="M216" s="386" t="str">
        <f t="shared" si="37"/>
        <v>│ 90000: AB, 31.12., S.  96000 (Privat), 12 291,-, xxxx│                         │----------│</v>
      </c>
      <c r="N216" s="259" t="str">
        <f t="shared" si="34"/>
        <v>x</v>
      </c>
    </row>
    <row r="217" spans="1:14" ht="12.75" customHeight="1" x14ac:dyDescent="0.25">
      <c r="A217" s="238"/>
      <c r="B217" s="240" t="str">
        <f>"Buchung EAK "&amp;'B-EAK'!B82</f>
        <v>Buchung EAK 57</v>
      </c>
      <c r="C217" s="270" t="str">
        <f>'H-EAK'!K82</f>
        <v>S.  98900 (Gewi</v>
      </c>
      <c r="D217" s="263" t="str">
        <f>IF('H-EAK'!D82="","",'H-EAK'!D82)</f>
        <v xml:space="preserve"> 90000: AB, 31.12., S.  98900 (Gewinn- und Verlustkonto (GuV)), 3 253,-, xxxx</v>
      </c>
      <c r="E217" s="264" t="s">
        <v>154</v>
      </c>
      <c r="F217" s="264"/>
      <c r="G217" s="238"/>
      <c r="H217" s="265" t="str">
        <f t="shared" si="32"/>
        <v/>
      </c>
      <c r="I217" s="261" t="str">
        <f t="shared" si="33"/>
        <v>Fehlt</v>
      </c>
      <c r="J217" s="266">
        <f t="shared" si="35"/>
        <v>0</v>
      </c>
      <c r="K217" s="258" t="s">
        <v>155</v>
      </c>
      <c r="L217" s="258">
        <f t="shared" si="36"/>
        <v>1</v>
      </c>
      <c r="M217" s="386" t="str">
        <f t="shared" si="37"/>
        <v>│ 90000: AB, 31.12., S.  98900 (Gewinn- und Verlustkonto (GuV)), 3 253,-, xxxx│                         │----------│</v>
      </c>
      <c r="N217" s="259" t="str">
        <f t="shared" si="34"/>
        <v>x</v>
      </c>
    </row>
    <row r="218" spans="1:14" ht="12.75" hidden="1" customHeight="1" x14ac:dyDescent="0.25">
      <c r="A218" s="238"/>
      <c r="B218" s="240" t="str">
        <f>"Buchung EAK "&amp;'B-EAK'!B83</f>
        <v>Buchung EAK 58</v>
      </c>
      <c r="C218" s="270" t="str">
        <f>'H-EAK'!K83</f>
        <v/>
      </c>
      <c r="D218" s="263" t="str">
        <f>IF('H-EAK'!D83="","",'H-EAK'!D83)</f>
        <v/>
      </c>
      <c r="E218" s="264" t="s">
        <v>154</v>
      </c>
      <c r="F218" s="264"/>
      <c r="G218" s="238"/>
      <c r="H218" s="265" t="str">
        <f t="shared" si="32"/>
        <v/>
      </c>
      <c r="I218" s="261" t="str">
        <f t="shared" si="33"/>
        <v/>
      </c>
      <c r="J218" s="266" t="str">
        <f t="shared" si="35"/>
        <v>-</v>
      </c>
      <c r="K218" s="258" t="s">
        <v>155</v>
      </c>
      <c r="L218" s="258" t="str">
        <f t="shared" si="36"/>
        <v>-</v>
      </c>
      <c r="M218" s="386" t="str">
        <f t="shared" si="37"/>
        <v>│----------│----------│</v>
      </c>
      <c r="N218" s="259" t="str">
        <f t="shared" si="34"/>
        <v>x</v>
      </c>
    </row>
    <row r="219" spans="1:14" ht="12.75" hidden="1" customHeight="1" x14ac:dyDescent="0.25">
      <c r="A219" s="238"/>
      <c r="B219" s="240" t="str">
        <f>"Buchung EAK "&amp;'B-EAK'!B84</f>
        <v>Buchung EAK 59</v>
      </c>
      <c r="C219" s="270" t="str">
        <f>'H-EAK'!K84</f>
        <v/>
      </c>
      <c r="D219" s="263" t="str">
        <f>IF('H-EAK'!D84="","",'H-EAK'!D84)</f>
        <v/>
      </c>
      <c r="E219" s="264" t="s">
        <v>154</v>
      </c>
      <c r="F219" s="264"/>
      <c r="G219" s="238"/>
      <c r="H219" s="265" t="str">
        <f t="shared" si="32"/>
        <v/>
      </c>
      <c r="I219" s="261" t="str">
        <f t="shared" si="33"/>
        <v/>
      </c>
      <c r="J219" s="266" t="str">
        <f t="shared" si="35"/>
        <v>-</v>
      </c>
      <c r="K219" s="258" t="s">
        <v>155</v>
      </c>
      <c r="L219" s="258" t="str">
        <f t="shared" si="36"/>
        <v>-</v>
      </c>
      <c r="M219" s="386" t="str">
        <f t="shared" si="37"/>
        <v>│----------│----------│</v>
      </c>
      <c r="N219" s="259" t="str">
        <f t="shared" si="34"/>
        <v>x</v>
      </c>
    </row>
    <row r="220" spans="1:14" ht="12.75" hidden="1" customHeight="1" x14ac:dyDescent="0.25">
      <c r="A220" s="238"/>
      <c r="B220" s="240" t="str">
        <f>"Buchung EAK "&amp;'B-EAK'!B85</f>
        <v>Buchung EAK 60</v>
      </c>
      <c r="C220" s="270" t="str">
        <f>'H-EAK'!K85</f>
        <v/>
      </c>
      <c r="D220" s="263" t="str">
        <f>IF('H-EAK'!D85="","",'H-EAK'!D85)</f>
        <v/>
      </c>
      <c r="E220" s="264" t="s">
        <v>154</v>
      </c>
      <c r="F220" s="264"/>
      <c r="G220" s="238"/>
      <c r="H220" s="265" t="str">
        <f t="shared" si="32"/>
        <v/>
      </c>
      <c r="I220" s="261" t="str">
        <f t="shared" si="33"/>
        <v/>
      </c>
      <c r="J220" s="266" t="str">
        <f t="shared" si="35"/>
        <v>-</v>
      </c>
      <c r="K220" s="258" t="s">
        <v>155</v>
      </c>
      <c r="L220" s="258" t="str">
        <f t="shared" si="36"/>
        <v>-</v>
      </c>
      <c r="M220" s="386" t="str">
        <f t="shared" si="37"/>
        <v>│----------│----------│</v>
      </c>
      <c r="N220" s="259" t="str">
        <f t="shared" si="34"/>
        <v>x</v>
      </c>
    </row>
    <row r="221" spans="1:14" ht="12.75" customHeight="1" x14ac:dyDescent="0.25">
      <c r="A221" s="238"/>
      <c r="B221" s="240" t="str">
        <f>"Buchung EAK "&amp;'B-EAK'!B86</f>
        <v>Buchung EAK 61</v>
      </c>
      <c r="C221" s="270" t="str">
        <f>'H-EAK'!K86</f>
        <v>Summe</v>
      </c>
      <c r="D221" s="263" t="str">
        <f>IF('H-EAK'!D86="","",'H-EAK'!D86)</f>
        <v xml:space="preserve"> 90000: Summe, 210 629,-, 210 629,-</v>
      </c>
      <c r="E221" s="264" t="s">
        <v>154</v>
      </c>
      <c r="F221" s="264"/>
      <c r="G221" s="238"/>
      <c r="H221" s="265" t="str">
        <f t="shared" si="32"/>
        <v/>
      </c>
      <c r="I221" s="261" t="str">
        <f t="shared" si="33"/>
        <v>Fehlt</v>
      </c>
      <c r="J221" s="266">
        <f t="shared" si="35"/>
        <v>0</v>
      </c>
      <c r="K221" s="258" t="s">
        <v>155</v>
      </c>
      <c r="L221" s="258">
        <f t="shared" si="36"/>
        <v>1</v>
      </c>
      <c r="M221" s="386" t="str">
        <f t="shared" si="37"/>
        <v>│ 90000: Summe, 210 629,-, 210 629,-│                         │----------│</v>
      </c>
      <c r="N221" s="259" t="str">
        <f t="shared" si="34"/>
        <v>x</v>
      </c>
    </row>
    <row r="222" spans="1:14" ht="12.75" customHeight="1" x14ac:dyDescent="0.25">
      <c r="A222" s="238"/>
      <c r="B222" s="240" t="str">
        <f>"Buchung EAK "&amp;'B-EAK'!B87</f>
        <v>Buchung EAK 40</v>
      </c>
      <c r="C222" s="270" t="str">
        <f>'H-EAK'!K87</f>
        <v>S.  41400 (Einn</v>
      </c>
      <c r="D222" s="263" t="str">
        <f>IF('H-EAK'!D87="","",'H-EAK'!D87)</f>
        <v xml:space="preserve"> 98900: AB, 31.12., S.  41400 (Einnahmen Schafe), xxxx, 5 169,-</v>
      </c>
      <c r="E222" s="264" t="s">
        <v>154</v>
      </c>
      <c r="F222" s="264"/>
      <c r="G222" s="238"/>
      <c r="H222" s="265" t="str">
        <f t="shared" si="32"/>
        <v/>
      </c>
      <c r="I222" s="261" t="str">
        <f t="shared" si="33"/>
        <v>Fehlt</v>
      </c>
      <c r="J222" s="266">
        <f t="shared" si="35"/>
        <v>0</v>
      </c>
      <c r="K222" s="258" t="s">
        <v>155</v>
      </c>
      <c r="L222" s="258">
        <f t="shared" si="36"/>
        <v>1</v>
      </c>
      <c r="M222" s="386" t="str">
        <f t="shared" si="37"/>
        <v>│ 98900: AB, 31.12., S.  41400 (Einnahmen Schafe), xxxx, 5 169,-│                         │----------│</v>
      </c>
      <c r="N222" s="259" t="str">
        <f t="shared" si="34"/>
        <v>x</v>
      </c>
    </row>
    <row r="223" spans="1:14" ht="12.75" customHeight="1" x14ac:dyDescent="0.25">
      <c r="A223" s="238"/>
      <c r="B223" s="240" t="str">
        <f>"Buchung EAK "&amp;'B-EAK'!B88</f>
        <v>Buchung EAK 41</v>
      </c>
      <c r="C223" s="270" t="str">
        <f>'H-EAK'!K88</f>
        <v>S.  56015 (Trei</v>
      </c>
      <c r="D223" s="263" t="str">
        <f>IF('H-EAK'!D88="","",'H-EAK'!D88)</f>
        <v xml:space="preserve"> 98900: AB, 31.12., S.  56015 (Treibstoff Diesel), 172,-, xxxx</v>
      </c>
      <c r="E223" s="264" t="s">
        <v>154</v>
      </c>
      <c r="F223" s="264"/>
      <c r="G223" s="238"/>
      <c r="H223" s="265" t="str">
        <f t="shared" si="32"/>
        <v/>
      </c>
      <c r="I223" s="261" t="str">
        <f t="shared" si="33"/>
        <v>Fehlt</v>
      </c>
      <c r="J223" s="266">
        <f t="shared" si="35"/>
        <v>0</v>
      </c>
      <c r="K223" s="258" t="s">
        <v>155</v>
      </c>
      <c r="L223" s="258">
        <f t="shared" si="36"/>
        <v>1</v>
      </c>
      <c r="M223" s="386" t="str">
        <f t="shared" si="37"/>
        <v>│ 98900: AB, 31.12., S.  56015 (Treibstoff Diesel), 172,-, xxxx│                         │----------│</v>
      </c>
      <c r="N223" s="259" t="str">
        <f t="shared" si="34"/>
        <v>x</v>
      </c>
    </row>
    <row r="224" spans="1:14" ht="12.75" customHeight="1" x14ac:dyDescent="0.25">
      <c r="A224" s="238"/>
      <c r="B224" s="240" t="str">
        <f>"Buchung EAK "&amp;'B-EAK'!B89</f>
        <v>Buchung EAK 42</v>
      </c>
      <c r="C224" s="270" t="str">
        <f>'H-EAK'!K89</f>
        <v>S.  70200 (Absc</v>
      </c>
      <c r="D224" s="263" t="str">
        <f>IF('H-EAK'!D89="","",'H-EAK'!D89)</f>
        <v xml:space="preserve"> 98900: AB, 31.12., S.  70200 (Abschreibung Sachanlagevermögen), 7 692,-, xxxx</v>
      </c>
      <c r="E224" s="264" t="s">
        <v>154</v>
      </c>
      <c r="F224" s="264"/>
      <c r="G224" s="238"/>
      <c r="H224" s="265" t="str">
        <f t="shared" si="32"/>
        <v/>
      </c>
      <c r="I224" s="261" t="str">
        <f t="shared" si="33"/>
        <v>Fehlt</v>
      </c>
      <c r="J224" s="266">
        <f t="shared" si="35"/>
        <v>0</v>
      </c>
      <c r="K224" s="258" t="s">
        <v>155</v>
      </c>
      <c r="L224" s="258">
        <f t="shared" si="36"/>
        <v>1</v>
      </c>
      <c r="M224" s="386" t="str">
        <f t="shared" si="37"/>
        <v>│ 98900: AB, 31.12., S.  70200 (Abschreibung Sachanlagevermögen), 7 692,-, xxxx│                         │----------│</v>
      </c>
      <c r="N224" s="259" t="str">
        <f t="shared" si="34"/>
        <v>x</v>
      </c>
    </row>
    <row r="225" spans="1:14" ht="12.75" customHeight="1" x14ac:dyDescent="0.25">
      <c r="A225" s="238"/>
      <c r="B225" s="240" t="str">
        <f>"Buchung EAK "&amp;'B-EAK'!B90</f>
        <v>Buchung EAK 43</v>
      </c>
      <c r="C225" s="270" t="str">
        <f>'H-EAK'!K90</f>
        <v>S.  82800 (Zins</v>
      </c>
      <c r="D225" s="263" t="str">
        <f>IF('H-EAK'!D90="","",'H-EAK'!D90)</f>
        <v xml:space="preserve"> 98900: AB, 31.12., S.  82800 (Zinsen für Bankkredite), 558,-, xxxx</v>
      </c>
      <c r="E225" s="264" t="s">
        <v>154</v>
      </c>
      <c r="F225" s="264"/>
      <c r="G225" s="238"/>
      <c r="H225" s="265" t="str">
        <f t="shared" si="32"/>
        <v/>
      </c>
      <c r="I225" s="261" t="str">
        <f t="shared" si="33"/>
        <v>Fehlt</v>
      </c>
      <c r="J225" s="266">
        <f t="shared" si="35"/>
        <v>0</v>
      </c>
      <c r="K225" s="258" t="s">
        <v>155</v>
      </c>
      <c r="L225" s="258">
        <f t="shared" si="36"/>
        <v>1</v>
      </c>
      <c r="M225" s="386" t="str">
        <f t="shared" si="37"/>
        <v>│ 98900: AB, 31.12., S.  82800 (Zinsen für Bankkredite), 558,-, xxxx│                         │----------│</v>
      </c>
      <c r="N225" s="259" t="str">
        <f t="shared" si="34"/>
        <v>x</v>
      </c>
    </row>
    <row r="226" spans="1:14" ht="12.75" hidden="1" customHeight="1" x14ac:dyDescent="0.25">
      <c r="A226" s="238"/>
      <c r="B226" s="240" t="str">
        <f>"Buchung EAK "&amp;'B-EAK'!B91</f>
        <v>Buchung EAK 44</v>
      </c>
      <c r="C226" s="270" t="str">
        <f>'H-EAK'!K91</f>
        <v/>
      </c>
      <c r="D226" s="263" t="str">
        <f>IF('H-EAK'!D91="","",'H-EAK'!D91)</f>
        <v/>
      </c>
      <c r="E226" s="264" t="s">
        <v>154</v>
      </c>
      <c r="F226" s="264"/>
      <c r="G226" s="238"/>
      <c r="H226" s="265" t="str">
        <f t="shared" si="32"/>
        <v/>
      </c>
      <c r="I226" s="261" t="str">
        <f t="shared" si="33"/>
        <v/>
      </c>
      <c r="J226" s="266" t="str">
        <f t="shared" si="35"/>
        <v>-</v>
      </c>
      <c r="K226" s="258" t="s">
        <v>155</v>
      </c>
      <c r="L226" s="258" t="str">
        <f t="shared" si="36"/>
        <v>-</v>
      </c>
      <c r="M226" s="386" t="str">
        <f t="shared" si="37"/>
        <v>│----------│----------│</v>
      </c>
      <c r="N226" s="259" t="str">
        <f t="shared" si="34"/>
        <v>x</v>
      </c>
    </row>
    <row r="227" spans="1:14" ht="12.75" hidden="1" customHeight="1" x14ac:dyDescent="0.25">
      <c r="A227" s="238"/>
      <c r="B227" s="240" t="str">
        <f>"Buchung EAK "&amp;'B-EAK'!B92</f>
        <v>Buchung EAK 45</v>
      </c>
      <c r="C227" s="270" t="str">
        <f>'H-EAK'!K92</f>
        <v/>
      </c>
      <c r="D227" s="263" t="str">
        <f>IF('H-EAK'!D92="","",'H-EAK'!D92)</f>
        <v/>
      </c>
      <c r="E227" s="264" t="s">
        <v>154</v>
      </c>
      <c r="F227" s="264"/>
      <c r="G227" s="238"/>
      <c r="H227" s="265" t="str">
        <f t="shared" si="32"/>
        <v/>
      </c>
      <c r="I227" s="261" t="str">
        <f t="shared" si="33"/>
        <v/>
      </c>
      <c r="J227" s="266" t="str">
        <f t="shared" si="35"/>
        <v>-</v>
      </c>
      <c r="K227" s="258" t="s">
        <v>155</v>
      </c>
      <c r="L227" s="258" t="str">
        <f t="shared" si="36"/>
        <v>-</v>
      </c>
      <c r="M227" s="386" t="str">
        <f t="shared" si="37"/>
        <v>│----------│----------│</v>
      </c>
      <c r="N227" s="259" t="str">
        <f t="shared" si="34"/>
        <v>x</v>
      </c>
    </row>
    <row r="228" spans="1:14" ht="12.75" hidden="1" customHeight="1" x14ac:dyDescent="0.25">
      <c r="A228" s="238"/>
      <c r="B228" s="240" t="str">
        <f>"Buchung EAK "&amp;'B-EAK'!B93</f>
        <v>Buchung EAK 46</v>
      </c>
      <c r="C228" s="270" t="str">
        <f>'H-EAK'!K93</f>
        <v/>
      </c>
      <c r="D228" s="263" t="str">
        <f>IF('H-EAK'!D93="","",'H-EAK'!D93)</f>
        <v/>
      </c>
      <c r="E228" s="264" t="s">
        <v>154</v>
      </c>
      <c r="F228" s="264"/>
      <c r="G228" s="238"/>
      <c r="H228" s="265" t="str">
        <f t="shared" si="32"/>
        <v/>
      </c>
      <c r="I228" s="261" t="str">
        <f t="shared" si="33"/>
        <v/>
      </c>
      <c r="J228" s="266" t="str">
        <f t="shared" si="35"/>
        <v>-</v>
      </c>
      <c r="K228" s="258" t="s">
        <v>155</v>
      </c>
      <c r="L228" s="258" t="str">
        <f t="shared" si="36"/>
        <v>-</v>
      </c>
      <c r="M228" s="386" t="str">
        <f t="shared" si="37"/>
        <v>│----------│----------│</v>
      </c>
      <c r="N228" s="259" t="str">
        <f t="shared" si="34"/>
        <v>x</v>
      </c>
    </row>
    <row r="229" spans="1:14" ht="12.75" hidden="1" customHeight="1" x14ac:dyDescent="0.25">
      <c r="A229" s="238"/>
      <c r="B229" s="240" t="str">
        <f>"Buchung EAK "&amp;'B-EAK'!B94</f>
        <v>Buchung EAK 47</v>
      </c>
      <c r="C229" s="270" t="str">
        <f>'H-EAK'!K94</f>
        <v/>
      </c>
      <c r="D229" s="263" t="str">
        <f>IF('H-EAK'!D94="","",'H-EAK'!D94)</f>
        <v/>
      </c>
      <c r="E229" s="264" t="s">
        <v>154</v>
      </c>
      <c r="F229" s="264"/>
      <c r="G229" s="238"/>
      <c r="H229" s="265" t="str">
        <f t="shared" si="32"/>
        <v/>
      </c>
      <c r="I229" s="261" t="str">
        <f t="shared" si="33"/>
        <v/>
      </c>
      <c r="J229" s="266" t="str">
        <f t="shared" si="35"/>
        <v>-</v>
      </c>
      <c r="K229" s="258" t="s">
        <v>155</v>
      </c>
      <c r="L229" s="258" t="str">
        <f t="shared" si="36"/>
        <v>-</v>
      </c>
      <c r="M229" s="386" t="str">
        <f t="shared" si="37"/>
        <v>│----------│----------│</v>
      </c>
      <c r="N229" s="259" t="str">
        <f t="shared" si="34"/>
        <v>x</v>
      </c>
    </row>
    <row r="230" spans="1:14" ht="12.75" customHeight="1" x14ac:dyDescent="0.25">
      <c r="A230" s="238"/>
      <c r="B230" s="240" t="str">
        <f>"Buchung EAK "&amp;'B-EAK'!B95</f>
        <v>Buchung EAK 48</v>
      </c>
      <c r="C230" s="270" t="str">
        <f>'H-EAK'!K95</f>
        <v>SALDO</v>
      </c>
      <c r="D230" s="263" t="str">
        <f>IF('H-EAK'!D95="","",'H-EAK'!D95)</f>
        <v xml:space="preserve"> 98900: AB, 31.12., SALDO, xxxx, 3 253,-</v>
      </c>
      <c r="E230" s="264" t="s">
        <v>154</v>
      </c>
      <c r="F230" s="264"/>
      <c r="G230" s="238"/>
      <c r="H230" s="265" t="str">
        <f t="shared" si="32"/>
        <v/>
      </c>
      <c r="I230" s="261" t="str">
        <f t="shared" si="33"/>
        <v>Fehlt</v>
      </c>
      <c r="J230" s="266">
        <f t="shared" si="35"/>
        <v>0</v>
      </c>
      <c r="K230" s="258" t="s">
        <v>155</v>
      </c>
      <c r="L230" s="258">
        <f t="shared" si="36"/>
        <v>1</v>
      </c>
      <c r="M230" s="386" t="str">
        <f t="shared" si="37"/>
        <v>│ 98900: AB, 31.12., SALDO, xxxx, 3 253,-│                         │----------│</v>
      </c>
      <c r="N230" s="259" t="str">
        <f t="shared" si="34"/>
        <v>x</v>
      </c>
    </row>
    <row r="231" spans="1:14" ht="12.75" customHeight="1" x14ac:dyDescent="0.25">
      <c r="A231" s="238"/>
      <c r="B231" s="240" t="str">
        <f>"Buchung EAK "&amp;'B-EAK'!B96</f>
        <v>Buchung EAK 49</v>
      </c>
      <c r="C231" s="270" t="str">
        <f>'H-EAK'!K96</f>
        <v>Summe</v>
      </c>
      <c r="D231" s="263" t="str">
        <f>IF('H-EAK'!D96="","",'H-EAK'!D96)</f>
        <v xml:space="preserve"> 98900: Summe, 8 423,-, 8 423,-</v>
      </c>
      <c r="E231" s="264" t="s">
        <v>154</v>
      </c>
      <c r="F231" s="264"/>
      <c r="G231" s="238"/>
      <c r="H231" s="265" t="str">
        <f t="shared" si="32"/>
        <v/>
      </c>
      <c r="I231" s="261" t="str">
        <f t="shared" si="33"/>
        <v>Fehlt</v>
      </c>
      <c r="J231" s="266">
        <f t="shared" si="35"/>
        <v>0</v>
      </c>
      <c r="K231" s="258" t="s">
        <v>155</v>
      </c>
      <c r="L231" s="258">
        <f t="shared" si="36"/>
        <v>1</v>
      </c>
      <c r="M231" s="386" t="str">
        <f t="shared" si="37"/>
        <v>│ 98900: Summe, 8 423,-, 8 423,-│                         │----------│</v>
      </c>
      <c r="N231" s="259" t="str">
        <f t="shared" si="34"/>
        <v>x</v>
      </c>
    </row>
    <row r="232" spans="1:14" ht="12.75" hidden="1" customHeight="1" x14ac:dyDescent="0.25">
      <c r="A232" s="238"/>
      <c r="B232" s="240" t="str">
        <f>"Buchung EAK "&amp;'B-EAK'!B97</f>
        <v>Buchung EAK 50</v>
      </c>
      <c r="C232" s="270" t="str">
        <f>'H-EAK'!K97</f>
        <v/>
      </c>
      <c r="D232" s="263" t="str">
        <f>IF('H-EAK'!D97="","",'H-EAK'!D97)</f>
        <v/>
      </c>
      <c r="E232" s="264" t="s">
        <v>154</v>
      </c>
      <c r="F232" s="264"/>
      <c r="G232" s="238"/>
      <c r="H232" s="265" t="str">
        <f t="shared" si="32"/>
        <v/>
      </c>
      <c r="I232" s="261" t="str">
        <f t="shared" si="33"/>
        <v/>
      </c>
      <c r="J232" s="266" t="str">
        <f t="shared" si="35"/>
        <v>-</v>
      </c>
      <c r="K232" s="258" t="s">
        <v>155</v>
      </c>
      <c r="L232" s="258" t="str">
        <f t="shared" si="36"/>
        <v>-</v>
      </c>
      <c r="M232" s="386" t="str">
        <f t="shared" si="37"/>
        <v>│----------│----------│</v>
      </c>
      <c r="N232" s="259" t="str">
        <f t="shared" si="34"/>
        <v>x</v>
      </c>
    </row>
    <row r="233" spans="1:14" ht="12.75" hidden="1" customHeight="1" x14ac:dyDescent="0.25">
      <c r="A233" s="238"/>
      <c r="B233" s="240" t="str">
        <f>"Buchung EAK "&amp;'B-EAK'!B98</f>
        <v>Buchung EAK 51</v>
      </c>
      <c r="C233" s="270" t="str">
        <f>'H-EAK'!K98</f>
        <v/>
      </c>
      <c r="D233" s="263" t="str">
        <f>IF('H-EAK'!D98="","",'H-EAK'!D98)</f>
        <v/>
      </c>
      <c r="E233" s="264" t="s">
        <v>154</v>
      </c>
      <c r="F233" s="264"/>
      <c r="G233" s="238"/>
      <c r="H233" s="265" t="str">
        <f t="shared" si="32"/>
        <v/>
      </c>
      <c r="I233" s="261" t="str">
        <f t="shared" si="33"/>
        <v/>
      </c>
      <c r="J233" s="266" t="str">
        <f t="shared" si="35"/>
        <v>-</v>
      </c>
      <c r="K233" s="258" t="s">
        <v>155</v>
      </c>
      <c r="L233" s="258" t="str">
        <f t="shared" si="36"/>
        <v>-</v>
      </c>
      <c r="M233" s="386" t="str">
        <f t="shared" si="37"/>
        <v>│----------│----------│</v>
      </c>
      <c r="N233" s="259" t="str">
        <f t="shared" si="34"/>
        <v>x</v>
      </c>
    </row>
    <row r="234" spans="1:14" ht="12.75" hidden="1" customHeight="1" x14ac:dyDescent="0.25">
      <c r="A234" s="238"/>
      <c r="B234" s="240" t="str">
        <f>"Buchung EAK "&amp;'B-EAK'!B99</f>
        <v>Buchung EAK 52</v>
      </c>
      <c r="C234" s="270" t="str">
        <f>'H-EAK'!K99</f>
        <v/>
      </c>
      <c r="D234" s="263" t="str">
        <f>IF('H-EAK'!D99="","",'H-EAK'!D99)</f>
        <v/>
      </c>
      <c r="E234" s="264" t="s">
        <v>154</v>
      </c>
      <c r="F234" s="264"/>
      <c r="G234" s="238"/>
      <c r="H234" s="265" t="str">
        <f t="shared" si="32"/>
        <v/>
      </c>
      <c r="I234" s="261" t="str">
        <f t="shared" si="33"/>
        <v/>
      </c>
      <c r="J234" s="266" t="str">
        <f t="shared" si="35"/>
        <v>-</v>
      </c>
      <c r="K234" s="258" t="s">
        <v>155</v>
      </c>
      <c r="L234" s="258" t="str">
        <f t="shared" si="36"/>
        <v>-</v>
      </c>
      <c r="M234" s="386" t="str">
        <f t="shared" si="37"/>
        <v>│----------│----------│</v>
      </c>
      <c r="N234" s="259" t="str">
        <f t="shared" si="34"/>
        <v>x</v>
      </c>
    </row>
    <row r="235" spans="1:14" ht="12.75" hidden="1" customHeight="1" x14ac:dyDescent="0.25">
      <c r="A235" s="238"/>
      <c r="B235" s="240" t="str">
        <f>"Buchung EAK "&amp;'B-EAK'!B100</f>
        <v>Buchung EAK 53</v>
      </c>
      <c r="C235" s="270" t="str">
        <f>'H-EAK'!K100</f>
        <v>SALDO</v>
      </c>
      <c r="D235" s="263" t="str">
        <f>IF('H-EAK'!D100="","",'H-EAK'!D100)</f>
        <v/>
      </c>
      <c r="E235" s="264" t="s">
        <v>154</v>
      </c>
      <c r="F235" s="264"/>
      <c r="G235" s="238"/>
      <c r="H235" s="265" t="str">
        <f t="shared" si="32"/>
        <v/>
      </c>
      <c r="I235" s="261" t="str">
        <f t="shared" si="33"/>
        <v/>
      </c>
      <c r="J235" s="266" t="str">
        <f t="shared" si="35"/>
        <v>-</v>
      </c>
      <c r="K235" s="258" t="s">
        <v>155</v>
      </c>
      <c r="L235" s="258" t="str">
        <f t="shared" si="36"/>
        <v>-</v>
      </c>
      <c r="M235" s="386" t="str">
        <f t="shared" si="37"/>
        <v>│----------│----------│</v>
      </c>
      <c r="N235" s="259" t="str">
        <f t="shared" si="34"/>
        <v>x</v>
      </c>
    </row>
    <row r="236" spans="1:14" ht="12.75" hidden="1" customHeight="1" x14ac:dyDescent="0.25">
      <c r="A236" s="238"/>
      <c r="B236" s="240" t="str">
        <f>"Buchung EAK "&amp;'B-EAK'!B101</f>
        <v>Buchung EAK 54</v>
      </c>
      <c r="C236" s="270" t="str">
        <f>'H-EAK'!K101</f>
        <v>Summe</v>
      </c>
      <c r="D236" s="263" t="str">
        <f>IF('H-EAK'!D101="","",'H-EAK'!D101)</f>
        <v/>
      </c>
      <c r="E236" s="264" t="s">
        <v>154</v>
      </c>
      <c r="F236" s="264"/>
      <c r="G236" s="238"/>
      <c r="H236" s="265" t="str">
        <f t="shared" si="32"/>
        <v/>
      </c>
      <c r="I236" s="261" t="str">
        <f t="shared" si="33"/>
        <v/>
      </c>
      <c r="J236" s="266" t="str">
        <f t="shared" si="35"/>
        <v>-</v>
      </c>
      <c r="K236" s="258" t="s">
        <v>155</v>
      </c>
      <c r="L236" s="258" t="str">
        <f t="shared" si="36"/>
        <v>-</v>
      </c>
      <c r="M236" s="386" t="str">
        <f t="shared" si="37"/>
        <v>│----------│----------│</v>
      </c>
      <c r="N236" s="259" t="str">
        <f t="shared" si="34"/>
        <v>x</v>
      </c>
    </row>
    <row r="237" spans="1:14" ht="12.75" hidden="1" customHeight="1" x14ac:dyDescent="0.25">
      <c r="A237" s="238"/>
      <c r="B237" s="240" t="str">
        <f>"Buchung EAK "&amp;'B-EAK'!B102</f>
        <v>Buchung EAK 62</v>
      </c>
      <c r="C237" s="270" t="str">
        <f>'H-EAK'!K102</f>
        <v/>
      </c>
      <c r="D237" s="263" t="str">
        <f>IF('H-EAK'!D102="","",'H-EAK'!D102)</f>
        <v/>
      </c>
      <c r="E237" s="264" t="s">
        <v>154</v>
      </c>
      <c r="F237" s="264"/>
      <c r="G237" s="238"/>
      <c r="H237" s="265" t="str">
        <f t="shared" si="32"/>
        <v/>
      </c>
      <c r="I237" s="261" t="str">
        <f t="shared" si="33"/>
        <v/>
      </c>
      <c r="J237" s="266" t="str">
        <f t="shared" si="35"/>
        <v>-</v>
      </c>
      <c r="K237" s="258" t="s">
        <v>155</v>
      </c>
      <c r="L237" s="258" t="str">
        <f t="shared" si="36"/>
        <v>-</v>
      </c>
      <c r="M237" s="386" t="str">
        <f t="shared" si="37"/>
        <v>│----------│----------│</v>
      </c>
      <c r="N237" s="259" t="str">
        <f t="shared" si="34"/>
        <v>x</v>
      </c>
    </row>
    <row r="238" spans="1:14" ht="12.75" hidden="1" customHeight="1" x14ac:dyDescent="0.25">
      <c r="A238" s="238"/>
      <c r="B238" s="240" t="str">
        <f>"Buchung EAK "&amp;'B-EAK'!B103</f>
        <v>Buchung EAK 63</v>
      </c>
      <c r="C238" s="270" t="str">
        <f>'H-EAK'!K103</f>
        <v/>
      </c>
      <c r="D238" s="263" t="str">
        <f>IF('H-EAK'!D103="","",'H-EAK'!D103)</f>
        <v/>
      </c>
      <c r="E238" s="264" t="s">
        <v>154</v>
      </c>
      <c r="F238" s="264"/>
      <c r="G238" s="238"/>
      <c r="H238" s="265" t="str">
        <f t="shared" si="32"/>
        <v/>
      </c>
      <c r="I238" s="261" t="str">
        <f t="shared" si="33"/>
        <v/>
      </c>
      <c r="J238" s="266" t="str">
        <f t="shared" si="35"/>
        <v>-</v>
      </c>
      <c r="K238" s="258" t="s">
        <v>155</v>
      </c>
      <c r="L238" s="258" t="str">
        <f t="shared" si="36"/>
        <v>-</v>
      </c>
      <c r="M238" s="386" t="str">
        <f t="shared" si="37"/>
        <v>│----------│----------│</v>
      </c>
      <c r="N238" s="259" t="str">
        <f t="shared" si="34"/>
        <v>x</v>
      </c>
    </row>
    <row r="239" spans="1:14" ht="12.75" hidden="1" customHeight="1" x14ac:dyDescent="0.25">
      <c r="A239" s="238"/>
      <c r="B239" s="240" t="str">
        <f>"Buchung EAK "&amp;'B-EAK'!B104</f>
        <v>Buchung EAK 64</v>
      </c>
      <c r="C239" s="270" t="str">
        <f>'H-EAK'!K104</f>
        <v/>
      </c>
      <c r="D239" s="263" t="str">
        <f>IF('H-EAK'!D104="","",'H-EAK'!D104)</f>
        <v/>
      </c>
      <c r="E239" s="264" t="s">
        <v>154</v>
      </c>
      <c r="F239" s="264"/>
      <c r="G239" s="238"/>
      <c r="H239" s="265" t="str">
        <f t="shared" si="32"/>
        <v/>
      </c>
      <c r="I239" s="261" t="str">
        <f t="shared" si="33"/>
        <v/>
      </c>
      <c r="J239" s="266" t="str">
        <f t="shared" si="35"/>
        <v>-</v>
      </c>
      <c r="K239" s="258" t="s">
        <v>155</v>
      </c>
      <c r="L239" s="258" t="str">
        <f t="shared" si="36"/>
        <v>-</v>
      </c>
      <c r="M239" s="386" t="str">
        <f t="shared" si="37"/>
        <v>│----------│----------│</v>
      </c>
      <c r="N239" s="259" t="str">
        <f t="shared" si="34"/>
        <v>x</v>
      </c>
    </row>
    <row r="240" spans="1:14" ht="12.75" hidden="1" customHeight="1" x14ac:dyDescent="0.25">
      <c r="A240" s="238"/>
      <c r="B240" s="240" t="str">
        <f>"Buchung EAK "&amp;'B-EAK'!B105</f>
        <v>Buchung EAK 65</v>
      </c>
      <c r="C240" s="270" t="str">
        <f>'H-EAK'!K105</f>
        <v>SALDO</v>
      </c>
      <c r="D240" s="263" t="str">
        <f>IF('H-EAK'!D105="","",'H-EAK'!D105)</f>
        <v/>
      </c>
      <c r="E240" s="264" t="s">
        <v>154</v>
      </c>
      <c r="F240" s="264"/>
      <c r="G240" s="238"/>
      <c r="H240" s="265" t="str">
        <f t="shared" si="32"/>
        <v/>
      </c>
      <c r="I240" s="261" t="str">
        <f t="shared" si="33"/>
        <v/>
      </c>
      <c r="J240" s="266" t="str">
        <f t="shared" ref="J240:J241" si="38">IF(OR($N110&lt;&gt;"x",AND(D240="",H240="")),"-",IF(I240="Richtig!",1,IF(I240="Formel: OK",0.5,IF(OR(I240="Falsch",I240="Fehlt"),0,""))))</f>
        <v>-</v>
      </c>
      <c r="K240" s="258" t="s">
        <v>155</v>
      </c>
      <c r="L240" s="258" t="str">
        <f t="shared" ref="L240:L241" si="39">IF(OR($N110&lt;&gt;"x",AND(D240="",H240="")),"-",1)</f>
        <v>-</v>
      </c>
      <c r="M240" s="386" t="str">
        <f t="shared" si="37"/>
        <v>│----------│----------│</v>
      </c>
      <c r="N240" s="259" t="str">
        <f t="shared" si="34"/>
        <v>x</v>
      </c>
    </row>
    <row r="241" spans="1:14" ht="12.75" hidden="1" customHeight="1" x14ac:dyDescent="0.25">
      <c r="A241" s="238"/>
      <c r="B241" s="240" t="str">
        <f>"Buchung EAK "&amp;'B-EAK'!B106</f>
        <v>Buchung EAK 66</v>
      </c>
      <c r="C241" s="270" t="str">
        <f>'H-EAK'!K106</f>
        <v>Summe</v>
      </c>
      <c r="D241" s="263" t="str">
        <f>IF('H-EAK'!D106="","",'H-EAK'!D106)</f>
        <v/>
      </c>
      <c r="E241" s="264" t="s">
        <v>154</v>
      </c>
      <c r="F241" s="264"/>
      <c r="G241" s="238"/>
      <c r="H241" s="265" t="str">
        <f t="shared" ref="H241" si="40">IF(OR(D241="",TYPE(VLOOKUP(MID(D241,1,FIND(": ",D241,1)-1)&amp;C241,B_EAK,2,0))=16),"",VLOOKUP(MID(D241,1,FIND(": ",D241,1)-1)&amp;C241,B_EAK,2,0))</f>
        <v/>
      </c>
      <c r="I241" s="261" t="str">
        <f t="shared" ref="I241" si="41">IF(AND(D241="",H241=""),"",IF(H241=D241,"Richtig!",IF(H241="","Fehlt","Falsch")))</f>
        <v/>
      </c>
      <c r="J241" s="266" t="str">
        <f t="shared" si="38"/>
        <v>-</v>
      </c>
      <c r="K241" s="258" t="s">
        <v>155</v>
      </c>
      <c r="L241" s="258" t="str">
        <f t="shared" si="39"/>
        <v>-</v>
      </c>
      <c r="M241" s="386" t="str">
        <f t="shared" si="37"/>
        <v>│----------│----------│</v>
      </c>
      <c r="N241" s="259" t="str">
        <f t="shared" si="34"/>
        <v>x</v>
      </c>
    </row>
    <row r="242" spans="1:14" x14ac:dyDescent="0.25">
      <c r="A242" s="238"/>
      <c r="B242" s="268"/>
      <c r="C242" s="270"/>
      <c r="D242" s="269"/>
      <c r="E242" s="264"/>
      <c r="F242" s="264"/>
      <c r="G242" s="238"/>
      <c r="H242" s="238"/>
      <c r="I242" s="261"/>
      <c r="J242" s="261"/>
      <c r="K242" s="258"/>
      <c r="L242" s="258"/>
      <c r="M242" s="386"/>
      <c r="N242" s="259" t="str">
        <f t="shared" si="34"/>
        <v>x</v>
      </c>
    </row>
    <row r="243" spans="1:14" ht="22.5" x14ac:dyDescent="0.25">
      <c r="A243" s="247"/>
      <c r="B243" s="248"/>
      <c r="C243" s="249"/>
      <c r="D243" s="250" t="s">
        <v>147</v>
      </c>
      <c r="E243" s="250"/>
      <c r="F243" s="251" t="s">
        <v>148</v>
      </c>
      <c r="G243" s="249"/>
      <c r="H243" s="251" t="s">
        <v>149</v>
      </c>
      <c r="I243" s="252" t="str">
        <f>"Fehler"</f>
        <v>Fehler</v>
      </c>
      <c r="J243" s="253" t="s">
        <v>150</v>
      </c>
      <c r="K243" s="253"/>
      <c r="L243" s="253"/>
      <c r="M243" s="386"/>
      <c r="N243" s="244" t="str">
        <f t="shared" si="34"/>
        <v>x</v>
      </c>
    </row>
    <row r="244" spans="1:14" x14ac:dyDescent="0.25">
      <c r="A244" s="254" t="s">
        <v>163</v>
      </c>
      <c r="B244" s="254" t="s">
        <v>164</v>
      </c>
      <c r="C244" s="238" t="s">
        <v>154</v>
      </c>
      <c r="D244" s="255"/>
      <c r="E244" s="238"/>
      <c r="F244" s="238"/>
      <c r="G244" s="238"/>
      <c r="H244" s="241"/>
      <c r="I244" s="261"/>
      <c r="J244" s="267"/>
      <c r="K244" s="258"/>
      <c r="L244" s="258"/>
      <c r="M244" s="386"/>
      <c r="N244" s="259" t="str">
        <f t="shared" si="34"/>
        <v>x</v>
      </c>
    </row>
    <row r="245" spans="1:14" ht="12.75" customHeight="1" x14ac:dyDescent="0.25">
      <c r="A245" s="238"/>
      <c r="B245" s="260" t="s">
        <v>132</v>
      </c>
      <c r="C245" s="262" t="s">
        <v>154</v>
      </c>
      <c r="D245" s="255"/>
      <c r="E245" s="238"/>
      <c r="F245" s="238"/>
      <c r="G245" s="238"/>
      <c r="H245" s="241"/>
      <c r="I245" s="261"/>
      <c r="J245" s="267"/>
      <c r="K245" s="258"/>
      <c r="L245" s="258"/>
      <c r="M245" s="386"/>
      <c r="N245" s="259" t="str">
        <f t="shared" si="34"/>
        <v>x</v>
      </c>
    </row>
    <row r="246" spans="1:14" ht="12.75" customHeight="1" x14ac:dyDescent="0.25">
      <c r="A246" s="238"/>
      <c r="B246" s="240" t="str">
        <f>IF('H-Erfolg'!D4="","",'H-Erfolg'!D4)</f>
        <v>Eigenkapital am Ende des Jahres</v>
      </c>
      <c r="C246" s="270" t="s">
        <v>154</v>
      </c>
      <c r="D246" s="263">
        <f>IF('H-Erfolg'!E4="","",'H-Erfolg'!E4)</f>
        <v>195084.7</v>
      </c>
      <c r="E246" s="264" t="s">
        <v>154</v>
      </c>
      <c r="F246" s="264"/>
      <c r="G246" s="238"/>
      <c r="H246" s="265" t="str">
        <f>IF('B-Erfolg'!E4="","",'B-Erfolg'!E4)</f>
        <v/>
      </c>
      <c r="I246" s="261" t="str">
        <f t="shared" ref="I246:I251" si="42">IF(AND(D246="",H246=""),"",IF(H246=D246,"Richtig!",IF(H246="","Fehlt","Falsch")))</f>
        <v>Fehlt</v>
      </c>
      <c r="J246" s="266">
        <f t="shared" ref="J246:J251" si="43">IF(OR($N116&lt;&gt;"x",AND(D246="",H246="")),"-",IF(I246="Richtig!",1,IF(I246="Formel: OK",0.5,IF(OR(I246="Falsch",I246="Fehlt"),0,""))))</f>
        <v>0</v>
      </c>
      <c r="K246" s="258" t="s">
        <v>155</v>
      </c>
      <c r="L246" s="258">
        <f t="shared" ref="L246:L251" si="44">IF(OR($N116&lt;&gt;"x",AND(D246="",H246="")),"-",1)</f>
        <v>1</v>
      </c>
      <c r="M246" s="386" t="str">
        <f t="shared" ref="M246:M251" si="45">IF(D246="","│----------│","│"&amp;TEXT(D246,"# ##0,00")&amp;"│                         │")&amp;IF(H246="","----------│",TEXT(H246,"# ##0,00")&amp;"│")</f>
        <v>│195 084,70│                         │----------│</v>
      </c>
      <c r="N246" s="259" t="str">
        <f t="shared" si="34"/>
        <v>x</v>
      </c>
    </row>
    <row r="247" spans="1:14" ht="12.75" customHeight="1" x14ac:dyDescent="0.25">
      <c r="A247" s="238"/>
      <c r="B247" s="240" t="str">
        <f>IF('H-Erfolg'!D5="","",'H-Erfolg'!D5)</f>
        <v>Eigenkapital zu Beginn des Jahres</v>
      </c>
      <c r="C247" s="270" t="s">
        <v>154</v>
      </c>
      <c r="D247" s="263">
        <f>IF('H-Erfolg'!E5="","",'H-Erfolg'!E5)</f>
        <v>-210629.19999999995</v>
      </c>
      <c r="E247" s="264"/>
      <c r="F247" s="264"/>
      <c r="G247" s="238"/>
      <c r="H247" s="265" t="str">
        <f>IF('B-Erfolg'!E5="","",'B-Erfolg'!E5)</f>
        <v/>
      </c>
      <c r="I247" s="261" t="str">
        <f t="shared" si="42"/>
        <v>Fehlt</v>
      </c>
      <c r="J247" s="266">
        <f t="shared" si="43"/>
        <v>0</v>
      </c>
      <c r="K247" s="258" t="s">
        <v>155</v>
      </c>
      <c r="L247" s="258">
        <f t="shared" si="44"/>
        <v>1</v>
      </c>
      <c r="M247" s="386" t="str">
        <f t="shared" si="45"/>
        <v>│-210 629,20│                         │----------│</v>
      </c>
      <c r="N247" s="259" t="str">
        <f t="shared" si="34"/>
        <v>x</v>
      </c>
    </row>
    <row r="248" spans="1:14" ht="12.75" customHeight="1" x14ac:dyDescent="0.25">
      <c r="A248" s="238"/>
      <c r="B248" s="240" t="str">
        <f>IF('H-Erfolg'!D6="","",'H-Erfolg'!D6)</f>
        <v>Eigenkapitalveränderung</v>
      </c>
      <c r="C248" s="270" t="s">
        <v>154</v>
      </c>
      <c r="D248" s="263">
        <f>IF('H-Erfolg'!E6="","",'H-Erfolg'!E6)</f>
        <v>-15544.499999999942</v>
      </c>
      <c r="E248" s="264"/>
      <c r="F248" s="264"/>
      <c r="G248" s="238"/>
      <c r="H248" s="265" t="str">
        <f>IF('B-Erfolg'!E6="","",'B-Erfolg'!E6)</f>
        <v/>
      </c>
      <c r="I248" s="261" t="str">
        <f t="shared" si="42"/>
        <v>Fehlt</v>
      </c>
      <c r="J248" s="266">
        <f t="shared" si="43"/>
        <v>0</v>
      </c>
      <c r="K248" s="258" t="s">
        <v>155</v>
      </c>
      <c r="L248" s="258">
        <f t="shared" si="44"/>
        <v>1</v>
      </c>
      <c r="M248" s="386" t="str">
        <f t="shared" si="45"/>
        <v>│-15 544,50│                         │----------│</v>
      </c>
      <c r="N248" s="259" t="str">
        <f t="shared" si="34"/>
        <v>x</v>
      </c>
    </row>
    <row r="249" spans="1:14" ht="12.75" customHeight="1" x14ac:dyDescent="0.25">
      <c r="A249" s="238"/>
      <c r="B249" s="240" t="str">
        <f>IF('H-Erfolg'!D7="","",'H-Erfolg'!D7)</f>
        <v>Privatentnahmen</v>
      </c>
      <c r="C249" s="270" t="s">
        <v>154</v>
      </c>
      <c r="D249" s="263">
        <f>IF('H-Erfolg'!E7="","",'H-Erfolg'!E7)</f>
        <v>12291.3</v>
      </c>
      <c r="E249" s="264"/>
      <c r="F249" s="264"/>
      <c r="G249" s="238"/>
      <c r="H249" s="265" t="str">
        <f>IF('B-Erfolg'!E7="","",'B-Erfolg'!E7)</f>
        <v/>
      </c>
      <c r="I249" s="261" t="str">
        <f t="shared" si="42"/>
        <v>Fehlt</v>
      </c>
      <c r="J249" s="266">
        <f t="shared" si="43"/>
        <v>0</v>
      </c>
      <c r="K249" s="258" t="s">
        <v>155</v>
      </c>
      <c r="L249" s="258">
        <f t="shared" si="44"/>
        <v>1</v>
      </c>
      <c r="M249" s="386" t="str">
        <f t="shared" si="45"/>
        <v>│12 291,30│                         │----------│</v>
      </c>
      <c r="N249" s="259" t="str">
        <f t="shared" si="34"/>
        <v>x</v>
      </c>
    </row>
    <row r="250" spans="1:14" ht="12.75" customHeight="1" x14ac:dyDescent="0.25">
      <c r="A250" s="238"/>
      <c r="B250" s="240" t="str">
        <f>IF('H-Erfolg'!D8="","",'H-Erfolg'!D8)</f>
        <v>Privateinlagen</v>
      </c>
      <c r="C250" s="270" t="s">
        <v>154</v>
      </c>
      <c r="D250" s="263">
        <f>IF('H-Erfolg'!E8="","",'H-Erfolg'!E8)</f>
        <v>0</v>
      </c>
      <c r="E250" s="264"/>
      <c r="F250" s="264"/>
      <c r="G250" s="238"/>
      <c r="H250" s="265" t="str">
        <f>IF('B-Erfolg'!E8="","",'B-Erfolg'!E8)</f>
        <v/>
      </c>
      <c r="I250" s="261" t="str">
        <f t="shared" si="42"/>
        <v>Fehlt</v>
      </c>
      <c r="J250" s="266">
        <f t="shared" si="43"/>
        <v>0</v>
      </c>
      <c r="K250" s="258" t="s">
        <v>155</v>
      </c>
      <c r="L250" s="258">
        <f t="shared" si="44"/>
        <v>1</v>
      </c>
      <c r="M250" s="386" t="str">
        <f t="shared" si="45"/>
        <v>│0,00│                         │----------│</v>
      </c>
      <c r="N250" s="259" t="str">
        <f t="shared" si="34"/>
        <v>x</v>
      </c>
    </row>
    <row r="251" spans="1:14" ht="12.75" customHeight="1" x14ac:dyDescent="0.25">
      <c r="A251" s="238"/>
      <c r="B251" s="240" t="str">
        <f>IF('H-Erfolg'!D9="","",'H-Erfolg'!D9)</f>
        <v>Verlust</v>
      </c>
      <c r="C251" s="270" t="s">
        <v>154</v>
      </c>
      <c r="D251" s="263">
        <f>IF('H-Erfolg'!E9="","",'H-Erfolg'!E9)</f>
        <v>-3253.1999999999425</v>
      </c>
      <c r="E251" s="264"/>
      <c r="F251" s="264"/>
      <c r="G251" s="238"/>
      <c r="H251" s="265" t="str">
        <f>IF('B-Erfolg'!E9="","",'B-Erfolg'!E9)</f>
        <v/>
      </c>
      <c r="I251" s="261" t="str">
        <f t="shared" si="42"/>
        <v>Fehlt</v>
      </c>
      <c r="J251" s="266">
        <f t="shared" si="43"/>
        <v>0</v>
      </c>
      <c r="K251" s="258" t="s">
        <v>155</v>
      </c>
      <c r="L251" s="258">
        <f t="shared" si="44"/>
        <v>1</v>
      </c>
      <c r="M251" s="386" t="str">
        <f t="shared" si="45"/>
        <v>│-3 253,20│                         │----------│</v>
      </c>
      <c r="N251" s="259" t="str">
        <f t="shared" si="34"/>
        <v>x</v>
      </c>
    </row>
    <row r="252" spans="1:14" x14ac:dyDescent="0.25">
      <c r="A252" s="238"/>
      <c r="B252" s="268"/>
      <c r="C252" s="262" t="s">
        <v>154</v>
      </c>
      <c r="D252" s="269"/>
      <c r="E252" s="264"/>
      <c r="F252" s="264"/>
      <c r="G252" s="238"/>
      <c r="H252" s="238"/>
      <c r="I252" s="261"/>
      <c r="J252" s="261"/>
      <c r="K252" s="258"/>
      <c r="L252" s="258"/>
      <c r="M252" s="386"/>
      <c r="N252" s="259" t="str">
        <f t="shared" si="34"/>
        <v>x</v>
      </c>
    </row>
    <row r="253" spans="1:14" ht="12.75" customHeight="1" x14ac:dyDescent="0.25">
      <c r="A253" s="238"/>
      <c r="B253" s="260" t="s">
        <v>165</v>
      </c>
      <c r="C253" s="262" t="s">
        <v>154</v>
      </c>
      <c r="D253" s="255"/>
      <c r="E253" s="238"/>
      <c r="F253" s="238"/>
      <c r="G253" s="238"/>
      <c r="H253" s="241"/>
      <c r="I253" s="261"/>
      <c r="J253" s="267"/>
      <c r="K253" s="258"/>
      <c r="L253" s="258"/>
      <c r="M253" s="386"/>
      <c r="N253" s="259" t="str">
        <f t="shared" si="34"/>
        <v>x</v>
      </c>
    </row>
    <row r="254" spans="1:14" ht="12.75" customHeight="1" x14ac:dyDescent="0.25">
      <c r="A254" s="238"/>
      <c r="B254" s="240" t="str">
        <f>IF('H-Erfolg'!D12="","",'H-Erfolg'!D12)</f>
        <v>Summe Erträge</v>
      </c>
      <c r="C254" s="270" t="s">
        <v>154</v>
      </c>
      <c r="D254" s="263">
        <f>IF('H-Erfolg'!E12="","",'H-Erfolg'!E12)</f>
        <v>5169.2999999999993</v>
      </c>
      <c r="E254" s="264"/>
      <c r="F254" s="264"/>
      <c r="G254" s="238"/>
      <c r="H254" s="265" t="str">
        <f>IF('B-Erfolg'!E12="","",'B-Erfolg'!E12)</f>
        <v/>
      </c>
      <c r="I254" s="261" t="str">
        <f t="shared" ref="I254:I256" si="46">IF(AND(D254="",H254=""),"",IF(H254=D254,"Richtig!",IF(H254="","Fehlt","Falsch")))</f>
        <v>Fehlt</v>
      </c>
      <c r="J254" s="266">
        <f>IF(OR($N124&lt;&gt;"x",AND(D254="",H254="")),"-",IF(I254="Richtig!",1,IF(I254="Formel: OK",0.5,IF(OR(I254="Falsch",I254="Fehlt"),0,""))))</f>
        <v>0</v>
      </c>
      <c r="K254" s="258" t="s">
        <v>155</v>
      </c>
      <c r="L254" s="258">
        <f>IF(OR($N124&lt;&gt;"x",AND(D254="",H254="")),"-",1)</f>
        <v>1</v>
      </c>
      <c r="M254" s="386" t="str">
        <f>IF(D254="","│----------│","│"&amp;TEXT(D254,"# ##0,00")&amp;"│                         │")&amp;IF(H254="","----------│",TEXT(H254,"# ##0,00")&amp;"│")</f>
        <v>│5 169,30│                         │----------│</v>
      </c>
      <c r="N254" s="259" t="str">
        <f t="shared" si="34"/>
        <v>x</v>
      </c>
    </row>
    <row r="255" spans="1:14" ht="12.75" customHeight="1" x14ac:dyDescent="0.25">
      <c r="A255" s="238"/>
      <c r="B255" s="240" t="str">
        <f>IF('H-Erfolg'!D13="","",'H-Erfolg'!D13)</f>
        <v>Summe Aufwände</v>
      </c>
      <c r="C255" s="270" t="s">
        <v>154</v>
      </c>
      <c r="D255" s="263">
        <f>IF('H-Erfolg'!E13="","",'H-Erfolg'!E13)</f>
        <v>-8422.5</v>
      </c>
      <c r="E255" s="264"/>
      <c r="F255" s="264"/>
      <c r="G255" s="238"/>
      <c r="H255" s="265" t="str">
        <f>IF('B-Erfolg'!E13="","",'B-Erfolg'!E13)</f>
        <v/>
      </c>
      <c r="I255" s="261" t="str">
        <f t="shared" si="46"/>
        <v>Fehlt</v>
      </c>
      <c r="J255" s="266">
        <f>IF(OR($N125&lt;&gt;"x",AND(D255="",H255="")),"-",IF(I255="Richtig!",1,IF(I255="Formel: OK",0.5,IF(OR(I255="Falsch",I255="Fehlt"),0,""))))</f>
        <v>0</v>
      </c>
      <c r="K255" s="258" t="s">
        <v>155</v>
      </c>
      <c r="L255" s="258">
        <f>IF(OR($N125&lt;&gt;"x",AND(D255="",H255="")),"-",1)</f>
        <v>1</v>
      </c>
      <c r="M255" s="386" t="str">
        <f>IF(D255="","│----------│","│"&amp;TEXT(D255,"# ##0,00")&amp;"│                         │")&amp;IF(H255="","----------│",TEXT(H255,"# ##0,00")&amp;"│")</f>
        <v>│-8 422,50│                         │----------│</v>
      </c>
      <c r="N255" s="259" t="str">
        <f t="shared" si="34"/>
        <v>x</v>
      </c>
    </row>
    <row r="256" spans="1:14" ht="12.75" customHeight="1" x14ac:dyDescent="0.25">
      <c r="A256" s="238"/>
      <c r="B256" s="240" t="str">
        <f>IF('H-Erfolg'!D14="","",'H-Erfolg'!D14)</f>
        <v>Verlust</v>
      </c>
      <c r="C256" s="270" t="s">
        <v>154</v>
      </c>
      <c r="D256" s="263">
        <f>IF('H-Erfolg'!E14="","",'H-Erfolg'!E14)</f>
        <v>-3253.2000000000007</v>
      </c>
      <c r="E256" s="264"/>
      <c r="F256" s="264"/>
      <c r="G256" s="238"/>
      <c r="H256" s="265" t="str">
        <f>IF('B-Erfolg'!E14="","",'B-Erfolg'!E14)</f>
        <v/>
      </c>
      <c r="I256" s="261" t="str">
        <f t="shared" si="46"/>
        <v>Fehlt</v>
      </c>
      <c r="J256" s="266">
        <f>IF(OR($N126&lt;&gt;"x",AND(D256="",H256="")),"-",IF(I256="Richtig!",1,IF(I256="Formel: OK",0.5,IF(OR(I256="Falsch",I256="Fehlt"),0,""))))</f>
        <v>0</v>
      </c>
      <c r="K256" s="258" t="s">
        <v>155</v>
      </c>
      <c r="L256" s="258">
        <f>IF(OR($N126&lt;&gt;"x",AND(D256="",H256="")),"-",1)</f>
        <v>1</v>
      </c>
      <c r="M256" s="386" t="str">
        <f>IF(D256="","│----------│","│"&amp;TEXT(D256,"# ##0,00")&amp;"│                         │")&amp;IF(H256="","----------│",TEXT(H256,"# ##0,00")&amp;"│")</f>
        <v>│-3 253,20│                         │----------│</v>
      </c>
      <c r="N256" s="259" t="str">
        <f t="shared" si="34"/>
        <v>x</v>
      </c>
    </row>
    <row r="257" spans="1:14" x14ac:dyDescent="0.25">
      <c r="A257" s="238"/>
      <c r="B257" s="268"/>
      <c r="C257" s="262" t="s">
        <v>154</v>
      </c>
      <c r="D257" s="269"/>
      <c r="E257" s="264"/>
      <c r="F257" s="264"/>
      <c r="G257" s="238"/>
      <c r="H257" s="238"/>
      <c r="I257" s="261"/>
      <c r="J257" s="261"/>
      <c r="K257" s="258"/>
      <c r="L257" s="258"/>
      <c r="M257" s="387"/>
      <c r="N257" s="259" t="str">
        <f t="shared" si="34"/>
        <v>x</v>
      </c>
    </row>
    <row r="258" spans="1:14" ht="15.75" x14ac:dyDescent="0.3">
      <c r="A258" s="271" t="s">
        <v>166</v>
      </c>
      <c r="B258" s="272"/>
      <c r="C258" s="272" t="s">
        <v>154</v>
      </c>
      <c r="D258" s="273">
        <f>COUNT(D7:D257)</f>
        <v>9</v>
      </c>
      <c r="E258" s="554"/>
      <c r="F258" s="554"/>
      <c r="G258" s="554"/>
      <c r="H258" s="274">
        <f>COUNT(H7:H257)</f>
        <v>0</v>
      </c>
      <c r="I258" s="275"/>
      <c r="J258" s="276">
        <f>SUM(J7:J257)</f>
        <v>0</v>
      </c>
      <c r="K258" s="277" t="str">
        <f>IF(L258="","","│")</f>
        <v>│</v>
      </c>
      <c r="L258" s="275">
        <f>SUM(L7:L257)</f>
        <v>138</v>
      </c>
      <c r="M258" s="385"/>
      <c r="N258" s="278" t="str">
        <f>IF(OR($N$1="",C258=""),"",$N$1)</f>
        <v>x</v>
      </c>
    </row>
    <row r="259" spans="1:14" ht="3.2" customHeight="1" x14ac:dyDescent="0.25">
      <c r="A259" s="279"/>
      <c r="B259" s="279"/>
      <c r="C259" s="279" t="s">
        <v>154</v>
      </c>
      <c r="D259" s="279"/>
      <c r="E259" s="279"/>
      <c r="F259" s="279"/>
      <c r="G259" s="280"/>
      <c r="H259" s="281"/>
      <c r="I259" s="280"/>
      <c r="J259" s="279"/>
      <c r="K259" s="279"/>
      <c r="L259" s="282"/>
      <c r="M259" s="385"/>
      <c r="N259" s="283" t="str">
        <f>N258</f>
        <v>x</v>
      </c>
    </row>
    <row r="260" spans="1:14" ht="50.1" customHeight="1" x14ac:dyDescent="0.25">
      <c r="A260" s="238"/>
      <c r="B260" s="238"/>
      <c r="C260" s="238"/>
      <c r="D260" s="238"/>
      <c r="E260" s="238"/>
      <c r="F260" s="238"/>
      <c r="G260" s="238"/>
      <c r="H260" s="241"/>
      <c r="I260" s="238"/>
      <c r="J260" s="238"/>
      <c r="K260" s="238"/>
      <c r="L260" s="238"/>
      <c r="M260" s="385"/>
      <c r="N260" s="238"/>
    </row>
    <row r="261" spans="1:14" ht="22.5" x14ac:dyDescent="0.45">
      <c r="A261" s="284" t="s">
        <v>167</v>
      </c>
      <c r="B261" s="285"/>
      <c r="C261" s="555">
        <f>IF(L258=0,"",J258/L258)</f>
        <v>0</v>
      </c>
      <c r="D261" s="555"/>
      <c r="E261" s="555"/>
      <c r="F261" s="555"/>
      <c r="G261" s="555"/>
      <c r="H261" s="555"/>
      <c r="I261" s="381"/>
      <c r="J261" s="381"/>
      <c r="K261" s="381"/>
      <c r="L261" s="381"/>
      <c r="M261" s="385"/>
      <c r="N261" s="286"/>
    </row>
    <row r="262" spans="1:14" ht="23.25" x14ac:dyDescent="0.35">
      <c r="A262" s="287"/>
      <c r="B262" s="288">
        <f>C262-J265+J266</f>
        <v>121</v>
      </c>
      <c r="C262" s="289">
        <f>L258</f>
        <v>138</v>
      </c>
      <c r="D262" s="290" t="str">
        <f>IF(AND(J258&gt;=B262-0.5,J258&lt;=C262),"u","j")</f>
        <v>j</v>
      </c>
      <c r="E262" s="382" t="str">
        <f>IF(N1="","",IF(OR(J258=B262-ROUND(J265/2,0),J258=B262),"-",""))</f>
        <v/>
      </c>
      <c r="F262" s="290"/>
      <c r="G262" s="238"/>
      <c r="H262" s="241"/>
      <c r="I262" s="291"/>
      <c r="J262" s="292"/>
      <c r="K262" s="291"/>
      <c r="L262" s="293"/>
      <c r="M262" s="385"/>
      <c r="N262" s="243"/>
    </row>
    <row r="263" spans="1:14" ht="23.25" x14ac:dyDescent="0.35">
      <c r="A263" s="287"/>
      <c r="B263" s="288">
        <f>C263-J265+J266</f>
        <v>103</v>
      </c>
      <c r="C263" s="294">
        <f>B262-1</f>
        <v>120</v>
      </c>
      <c r="D263" s="290" t="str">
        <f>IF(AND(J258&gt;=B263-0.5,J258&lt;=C263),"v","k")</f>
        <v>k</v>
      </c>
      <c r="E263" s="382" t="str">
        <f>IF(N1="","",IF(OR(J258=B263-ROUND(J265/2,0),J258=B263),"-",IF(OR(J258=C263-ROUND(J265/2,0),J258=C263),"+","")))</f>
        <v/>
      </c>
      <c r="F263" s="290"/>
      <c r="G263" s="238"/>
      <c r="H263" s="241"/>
      <c r="I263" s="291"/>
      <c r="J263" s="292"/>
      <c r="K263" s="291"/>
      <c r="L263" s="293"/>
      <c r="M263" s="385"/>
      <c r="N263" s="243"/>
    </row>
    <row r="264" spans="1:14" ht="23.25" x14ac:dyDescent="0.35">
      <c r="A264" s="287"/>
      <c r="B264" s="288">
        <f>C264-J265</f>
        <v>85</v>
      </c>
      <c r="C264" s="294">
        <f>B263-1</f>
        <v>102</v>
      </c>
      <c r="D264" s="290" t="str">
        <f>IF(AND(J258&gt;=B264-0.5,J258&lt;=C264),"w","l")</f>
        <v>l</v>
      </c>
      <c r="E264" s="382" t="str">
        <f>IF(N1="","",IF(OR(J258=B264-ROUND(J265/2,0),J258=B264),"-",IF(OR(J258=C264-ROUND(J265/2,0),J258=C264),"+","")))</f>
        <v/>
      </c>
      <c r="F264" s="290"/>
      <c r="G264" s="238"/>
      <c r="H264" s="241"/>
      <c r="I264" s="295" t="s">
        <v>168</v>
      </c>
      <c r="J264" s="296">
        <v>0.12</v>
      </c>
      <c r="K264" s="297"/>
      <c r="L264" s="298"/>
      <c r="M264" s="385"/>
      <c r="N264" s="243"/>
    </row>
    <row r="265" spans="1:14" ht="23.25" x14ac:dyDescent="0.35">
      <c r="A265" s="287"/>
      <c r="B265" s="288">
        <f>C265-J265</f>
        <v>67</v>
      </c>
      <c r="C265" s="294">
        <f>B264-1</f>
        <v>84</v>
      </c>
      <c r="D265" s="290" t="str">
        <f>IF(AND(J258&gt;=B265-0.5,J258&lt;=C265),"x","m")</f>
        <v>m</v>
      </c>
      <c r="E265" s="382" t="str">
        <f>IF(N1="","",IF(OR(J258=B265-ROUND(J265/2,0),J258=B265),"-",IF(OR(J258=C265-ROUND(J265/2,0),J258=C265),"+","")))</f>
        <v/>
      </c>
      <c r="F265" s="290"/>
      <c r="G265" s="299"/>
      <c r="H265" s="241"/>
      <c r="I265" s="300"/>
      <c r="J265" s="556">
        <f>ROUND(L258*J264,0)</f>
        <v>17</v>
      </c>
      <c r="K265" s="556"/>
      <c r="L265" s="556"/>
      <c r="M265" s="385"/>
      <c r="N265" s="243"/>
    </row>
    <row r="266" spans="1:14" ht="23.25" x14ac:dyDescent="0.35">
      <c r="A266" s="287"/>
      <c r="B266" s="301">
        <v>0</v>
      </c>
      <c r="C266" s="294">
        <f>B265-1</f>
        <v>66</v>
      </c>
      <c r="D266" s="290" t="str">
        <f>IF(L258=0,"",IF(AND(J258&gt;=B266-0.5,J258&lt;=C266),"y","n"))</f>
        <v>y</v>
      </c>
      <c r="E266" s="382" t="str">
        <f>IF(N1="","",IF(OR(J258=C266-ROUND(J265/2,0),J258=C266-ROUND(J265/2,0),J258=C266),"+",""))</f>
        <v/>
      </c>
      <c r="F266" s="290"/>
      <c r="G266" s="302"/>
      <c r="H266" s="303"/>
      <c r="I266" s="304" t="s">
        <v>169</v>
      </c>
      <c r="J266" s="305">
        <v>0</v>
      </c>
      <c r="K266" s="297"/>
      <c r="L266" s="298"/>
      <c r="M266" s="385"/>
      <c r="N266" s="243"/>
    </row>
  </sheetData>
  <sheetProtection algorithmName="SHA-512" hashValue="85lw+D7NP3Fw6NDqdSNqpgixlxvv3Nb6S998KRhCW3s1stgKR2wJohBO60RCqIqSEIBWGtoll7xvf4yDGAlP2w==" saltValue="36XGz/UyYsv7yxt8n6xFIQ==" spinCount="100000" sheet="1" objects="1" scenarios="1" selectLockedCells="1" selectUnlockedCells="1"/>
  <mergeCells count="3">
    <mergeCell ref="E258:G258"/>
    <mergeCell ref="C261:H261"/>
    <mergeCell ref="J265:L265"/>
  </mergeCells>
  <conditionalFormatting sqref="A3:L266">
    <cfRule type="expression" dxfId="6" priority="97" stopIfTrue="1">
      <formula>$N$1&lt;&gt;"x"</formula>
    </cfRule>
  </conditionalFormatting>
  <conditionalFormatting sqref="D262">
    <cfRule type="cellIs" dxfId="5" priority="96" stopIfTrue="1" operator="equal">
      <formula>"u"</formula>
    </cfRule>
  </conditionalFormatting>
  <conditionalFormatting sqref="D263">
    <cfRule type="cellIs" dxfId="4" priority="16" stopIfTrue="1" operator="equal">
      <formula>"v"</formula>
    </cfRule>
  </conditionalFormatting>
  <conditionalFormatting sqref="D264">
    <cfRule type="cellIs" dxfId="3" priority="19" stopIfTrue="1" operator="equal">
      <formula>"w"</formula>
    </cfRule>
  </conditionalFormatting>
  <conditionalFormatting sqref="D265">
    <cfRule type="cellIs" dxfId="2" priority="22" stopIfTrue="1" operator="equal">
      <formula>"x"</formula>
    </cfRule>
  </conditionalFormatting>
  <conditionalFormatting sqref="D266">
    <cfRule type="cellIs" dxfId="1" priority="25" stopIfTrue="1" operator="equal">
      <formula>"y"</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M222 M224 M226 M228 M230 M232 M234 M236 M238 M240 M242 M244 M246 M248 M250 M252 M254 M256">
    <cfRule type="cellIs" dxfId="0" priority="1" operator="notEqual">
      <formula>""</formula>
    </cfRule>
  </conditionalFormatting>
  <pageMargins left="0.59055118110236227" right="0.39370078740157483" top="0.98425196850393704" bottom="0.78740157480314965" header="0.39370078740157483" footer="0.31496062992125984"/>
  <pageSetup paperSize="9" scale="95" orientation="portrait" r:id="rId1"/>
  <headerFooter>
    <oddFooter>&amp;R&amp;"+,Fett"&amp;8Seite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L43"/>
  <sheetViews>
    <sheetView showGridLines="0" showRowColHeaders="0" workbookViewId="0">
      <pane ySplit="2" topLeftCell="A3" activePane="bottomLeft" state="frozen"/>
      <selection pane="bottomLeft" activeCell="A3" sqref="A3"/>
    </sheetView>
  </sheetViews>
  <sheetFormatPr baseColWidth="10" defaultColWidth="0" defaultRowHeight="15" zeroHeight="1" x14ac:dyDescent="0.25"/>
  <cols>
    <col min="1" max="1" width="3.7109375" customWidth="1"/>
    <col min="2" max="2" width="4.7109375" customWidth="1"/>
    <col min="3" max="3" width="15.7109375" customWidth="1"/>
    <col min="4" max="4" width="10.7109375" customWidth="1"/>
    <col min="5" max="5" width="4.7109375" customWidth="1"/>
    <col min="6" max="6" width="14.7109375" customWidth="1"/>
    <col min="7" max="7" width="5.7109375" customWidth="1"/>
    <col min="8" max="8" width="13.7109375" customWidth="1"/>
    <col min="9" max="9" width="5.7109375" customWidth="1"/>
    <col min="10" max="10" width="13.7109375" customWidth="1"/>
    <col min="11" max="11" width="2.7109375" customWidth="1"/>
    <col min="12" max="12" width="0" hidden="1" customWidth="1"/>
    <col min="13" max="16384" width="11.42578125" hidden="1"/>
  </cols>
  <sheetData>
    <row r="1" spans="1:12" s="6" customFormat="1" ht="27" customHeight="1" x14ac:dyDescent="0.25">
      <c r="A1" s="306" t="s">
        <v>0</v>
      </c>
      <c r="B1" s="307"/>
      <c r="C1" s="307"/>
      <c r="D1" s="307"/>
      <c r="E1" s="307"/>
      <c r="F1" s="307"/>
      <c r="G1" s="307"/>
      <c r="H1" s="307"/>
      <c r="I1" s="307"/>
      <c r="J1" s="307"/>
      <c r="K1" s="307"/>
      <c r="L1" s="308"/>
    </row>
    <row r="2" spans="1:12" s="6" customFormat="1" ht="30" customHeight="1" x14ac:dyDescent="0.25">
      <c r="A2" s="8"/>
      <c r="B2" s="8"/>
      <c r="D2" s="9"/>
    </row>
    <row r="3" spans="1:12" s="310" customFormat="1" ht="12.75" x14ac:dyDescent="0.25">
      <c r="A3" s="309" t="s">
        <v>8</v>
      </c>
      <c r="D3" s="311"/>
    </row>
    <row r="4" spans="1:12" s="115" customFormat="1" ht="17.100000000000001" customHeight="1" x14ac:dyDescent="0.25">
      <c r="A4" s="312" t="s">
        <v>9</v>
      </c>
      <c r="B4" s="312" t="s">
        <v>10</v>
      </c>
      <c r="C4" s="312" t="s">
        <v>11</v>
      </c>
      <c r="D4" s="313" t="s">
        <v>6</v>
      </c>
      <c r="E4" s="559" t="s">
        <v>100</v>
      </c>
      <c r="F4" s="560"/>
      <c r="G4" s="560"/>
      <c r="H4" s="561"/>
    </row>
    <row r="5" spans="1:12" s="115" customFormat="1" ht="20.100000000000001" customHeight="1" x14ac:dyDescent="0.25">
      <c r="A5" s="314" t="str">
        <f>IF('B-BF'!A5="","",'B-BF'!A5)</f>
        <v>EB</v>
      </c>
      <c r="B5" s="314" t="str">
        <f>IF('B-BF'!B5="","",'B-BF'!B5)</f>
        <v>01.01.</v>
      </c>
      <c r="C5" s="315" t="str">
        <f>IF('B-BF'!C5="","",'B-BF'!C5)</f>
        <v>AB Gebäude</v>
      </c>
      <c r="D5" s="88">
        <f>IF('B-BF'!D5="","",'B-BF'!D5)</f>
        <v>55448.2</v>
      </c>
      <c r="E5" s="316" t="s">
        <v>170</v>
      </c>
      <c r="F5" s="317" t="s">
        <v>171</v>
      </c>
      <c r="G5" s="316" t="s">
        <v>128</v>
      </c>
      <c r="H5" s="318" t="str">
        <f t="shared" ref="H5:H14" si="0">VLOOKUP(G5,KTOPL,2,0)</f>
        <v>Eröffnungsbilanzkonto (EBK)</v>
      </c>
    </row>
    <row r="6" spans="1:12" s="115" customFormat="1" ht="20.100000000000001" customHeight="1" x14ac:dyDescent="0.25">
      <c r="A6" s="86" t="str">
        <f>IF('B-BF'!A6="","",'B-BF'!A6)</f>
        <v>EB</v>
      </c>
      <c r="B6" s="314" t="str">
        <f>IF('B-BF'!B6="","",'B-BF'!B6)</f>
        <v>01.01.</v>
      </c>
      <c r="C6" s="315" t="str">
        <f>IF('B-BF'!C6="","",'B-BF'!C6)</f>
        <v>AB Maschinen</v>
      </c>
      <c r="D6" s="88">
        <f>IF('B-BF'!D6="","",'B-BF'!D6)</f>
        <v>91916.9</v>
      </c>
      <c r="E6" s="316" t="s">
        <v>172</v>
      </c>
      <c r="F6" s="317" t="str">
        <f t="shared" ref="F6" si="1">VLOOKUP(E6,KTOPL,2,0)</f>
        <v>Maschinen und Geräte</v>
      </c>
      <c r="G6" s="316" t="s">
        <v>128</v>
      </c>
      <c r="H6" s="318" t="str">
        <f t="shared" si="0"/>
        <v>Eröffnungsbilanzkonto (EBK)</v>
      </c>
    </row>
    <row r="7" spans="1:12" s="115" customFormat="1" ht="20.100000000000001" customHeight="1" x14ac:dyDescent="0.25">
      <c r="A7" s="314" t="str">
        <f>IF('B-BF'!A7="","",'B-BF'!A7)</f>
        <v>EB</v>
      </c>
      <c r="B7" s="314" t="str">
        <f>IF('B-BF'!B7="","",'B-BF'!B7)</f>
        <v>01.01.</v>
      </c>
      <c r="C7" s="315" t="str">
        <f>IF('B-BF'!C7="","",'B-BF'!C7)</f>
        <v>AB Schafe</v>
      </c>
      <c r="D7" s="88">
        <f>IF('B-BF'!D7="","",'B-BF'!D7)</f>
        <v>39445.9</v>
      </c>
      <c r="E7" s="316" t="s">
        <v>173</v>
      </c>
      <c r="F7" s="317" t="str">
        <f t="shared" ref="F7:F14" si="2">VLOOKUP(E7,KTOPL,2,0)</f>
        <v>Bestand Vieh</v>
      </c>
      <c r="G7" s="316" t="s">
        <v>128</v>
      </c>
      <c r="H7" s="318" t="str">
        <f t="shared" si="0"/>
        <v>Eröffnungsbilanzkonto (EBK)</v>
      </c>
    </row>
    <row r="8" spans="1:12" s="115" customFormat="1" ht="20.100000000000001" customHeight="1" x14ac:dyDescent="0.25">
      <c r="A8" s="86" t="str">
        <f>IF('B-BF'!A8="","",'B-BF'!A8)</f>
        <v>EB</v>
      </c>
      <c r="B8" s="314" t="str">
        <f>IF('B-BF'!B8="","",'B-BF'!B8)</f>
        <v>01.01.</v>
      </c>
      <c r="C8" s="315" t="str">
        <f>IF('B-BF'!C8="","",'B-BF'!C8)</f>
        <v>AB Vorräte selbsterz.</v>
      </c>
      <c r="D8" s="88">
        <f>IF('B-BF'!D8="","",'B-BF'!D8)</f>
        <v>2529.6</v>
      </c>
      <c r="E8" s="316" t="s">
        <v>174</v>
      </c>
      <c r="F8" s="317" t="str">
        <f t="shared" si="2"/>
        <v>Selbst erzeugte Vorräte</v>
      </c>
      <c r="G8" s="316" t="s">
        <v>128</v>
      </c>
      <c r="H8" s="318" t="str">
        <f t="shared" si="0"/>
        <v>Eröffnungsbilanzkonto (EBK)</v>
      </c>
    </row>
    <row r="9" spans="1:12" s="115" customFormat="1" ht="20.100000000000001" customHeight="1" x14ac:dyDescent="0.25">
      <c r="A9" s="314" t="str">
        <f>IF('B-BF'!A9="","",'B-BF'!A9)</f>
        <v>EB</v>
      </c>
      <c r="B9" s="314" t="str">
        <f>IF('B-BF'!B9="","",'B-BF'!B9)</f>
        <v>01.01.</v>
      </c>
      <c r="C9" s="315" t="str">
        <f>IF('B-BF'!C9="","",'B-BF'!C9)</f>
        <v>AB Vorräte zugekaufte</v>
      </c>
      <c r="D9" s="88">
        <f>IF('B-BF'!D9="","",'B-BF'!D9)</f>
        <v>3348.9</v>
      </c>
      <c r="E9" s="316" t="s">
        <v>175</v>
      </c>
      <c r="F9" s="317" t="str">
        <f t="shared" si="2"/>
        <v>Zugekaufte Vorräte 20%</v>
      </c>
      <c r="G9" s="316" t="s">
        <v>128</v>
      </c>
      <c r="H9" s="318" t="str">
        <f t="shared" si="0"/>
        <v>Eröffnungsbilanzkonto (EBK)</v>
      </c>
    </row>
    <row r="10" spans="1:12" s="115" customFormat="1" ht="20.100000000000001" customHeight="1" x14ac:dyDescent="0.25">
      <c r="A10" s="86" t="str">
        <f>IF('B-BF'!A10="","",'B-BF'!A10)</f>
        <v>EB</v>
      </c>
      <c r="B10" s="314" t="str">
        <f>IF('B-BF'!B10="","",'B-BF'!B10)</f>
        <v>01.01.</v>
      </c>
      <c r="C10" s="315" t="str">
        <f>IF('B-BF'!C10="","",'B-BF'!C10)</f>
        <v>AB Kassa (Bargeld)</v>
      </c>
      <c r="D10" s="88">
        <f>IF('B-BF'!D10="","",'B-BF'!D10)</f>
        <v>558.1</v>
      </c>
      <c r="E10" s="316" t="s">
        <v>176</v>
      </c>
      <c r="F10" s="317" t="str">
        <f t="shared" si="2"/>
        <v>Kassa</v>
      </c>
      <c r="G10" s="316" t="s">
        <v>128</v>
      </c>
      <c r="H10" s="318" t="str">
        <f t="shared" si="0"/>
        <v>Eröffnungsbilanzkonto (EBK)</v>
      </c>
    </row>
    <row r="11" spans="1:12" s="115" customFormat="1" ht="20.100000000000001" customHeight="1" x14ac:dyDescent="0.25">
      <c r="A11" s="314" t="str">
        <f>IF('B-BF'!A11="","",'B-BF'!A11)</f>
        <v>EB</v>
      </c>
      <c r="B11" s="314" t="str">
        <f>IF('B-BF'!B11="","",'B-BF'!B11)</f>
        <v>01.01.</v>
      </c>
      <c r="C11" s="315" t="str">
        <f>IF('B-BF'!C11="","",'B-BF'!C11)</f>
        <v>AB Giro (Bankguthaben)</v>
      </c>
      <c r="D11" s="88">
        <f>IF('B-BF'!D11="","",'B-BF'!D11)</f>
        <v>30708.9</v>
      </c>
      <c r="E11" s="316" t="s">
        <v>113</v>
      </c>
      <c r="F11" s="317" t="str">
        <f t="shared" si="2"/>
        <v>Bank - betrieblich 1</v>
      </c>
      <c r="G11" s="316" t="s">
        <v>128</v>
      </c>
      <c r="H11" s="318" t="str">
        <f t="shared" si="0"/>
        <v>Eröffnungsbilanzkonto (EBK)</v>
      </c>
    </row>
    <row r="12" spans="1:12" s="115" customFormat="1" ht="20.100000000000001" customHeight="1" x14ac:dyDescent="0.25">
      <c r="A12" s="86" t="str">
        <f>IF('B-BF'!A12="","",'B-BF'!A12)</f>
        <v>EB</v>
      </c>
      <c r="B12" s="319" t="str">
        <f>IF('B-BF'!B12="","",'B-BF'!B12)</f>
        <v>01.01.</v>
      </c>
      <c r="C12" s="87" t="str">
        <f>IF('B-BF'!C12="","",'B-BF'!C12)</f>
        <v>AB Forderungen
Metzger Müller</v>
      </c>
      <c r="D12" s="88">
        <f>IF('B-BF'!D12="","",'B-BF'!D12)</f>
        <v>967.8</v>
      </c>
      <c r="E12" s="316" t="s">
        <v>177</v>
      </c>
      <c r="F12" s="317" t="str">
        <f t="shared" si="2"/>
        <v>Metzger Müller</v>
      </c>
      <c r="G12" s="316" t="s">
        <v>128</v>
      </c>
      <c r="H12" s="318" t="str">
        <f t="shared" si="0"/>
        <v>Eröffnungsbilanzkonto (EBK)</v>
      </c>
    </row>
    <row r="13" spans="1:12" s="115" customFormat="1" ht="20.100000000000001" customHeight="1" x14ac:dyDescent="0.25">
      <c r="A13" s="86" t="str">
        <f>IF('B-BF'!A13="","",'B-BF'!A13)</f>
        <v>EB</v>
      </c>
      <c r="B13" s="314" t="str">
        <f>IF('B-BF'!B13="","",'B-BF'!B13)</f>
        <v>01.01.</v>
      </c>
      <c r="C13" s="87" t="str">
        <f>IF('B-BF'!C13="","",'B-BF'!C13)</f>
        <v>AB Verbindlichkeiten Maschinenring Imst</v>
      </c>
      <c r="D13" s="88">
        <f>IF('B-BF'!D13="","",'B-BF'!D13)</f>
        <v>4991.7</v>
      </c>
      <c r="E13" s="316" t="s">
        <v>128</v>
      </c>
      <c r="F13" s="317" t="str">
        <f t="shared" si="2"/>
        <v>Eröffnungsbilanzkonto (EBK)</v>
      </c>
      <c r="G13" s="316" t="s">
        <v>178</v>
      </c>
      <c r="H13" s="318" t="str">
        <f t="shared" si="0"/>
        <v>Maschinenring Imst</v>
      </c>
    </row>
    <row r="14" spans="1:12" s="115" customFormat="1" ht="20.100000000000001" customHeight="1" x14ac:dyDescent="0.25">
      <c r="A14" s="86" t="str">
        <f>IF('B-BF'!A14="","",'B-BF'!A14)</f>
        <v>EB</v>
      </c>
      <c r="B14" s="314" t="str">
        <f>IF('B-BF'!B14="","",'B-BF'!B14)</f>
        <v>01.01.</v>
      </c>
      <c r="C14" s="315" t="str">
        <f>IF('B-BF'!C14="","",'B-BF'!C14)</f>
        <v>AB Darlehen</v>
      </c>
      <c r="D14" s="88">
        <f>IF('B-BF'!D14="","",'B-BF'!D14)</f>
        <v>9303.4</v>
      </c>
      <c r="E14" s="316" t="s">
        <v>128</v>
      </c>
      <c r="F14" s="317" t="str">
        <f t="shared" si="2"/>
        <v>Eröffnungsbilanzkonto (EBK)</v>
      </c>
      <c r="G14" s="316" t="s">
        <v>179</v>
      </c>
      <c r="H14" s="318" t="str">
        <f t="shared" si="0"/>
        <v>Darlehen - betrieblich</v>
      </c>
    </row>
    <row r="15" spans="1:12" s="115" customFormat="1" ht="18" customHeight="1" x14ac:dyDescent="0.25">
      <c r="A15" s="320"/>
      <c r="B15" s="320"/>
      <c r="D15" s="321"/>
    </row>
    <row r="16" spans="1:12" s="310" customFormat="1" ht="12.75" x14ac:dyDescent="0.25">
      <c r="A16" s="309" t="s">
        <v>24</v>
      </c>
      <c r="D16" s="311"/>
    </row>
    <row r="17" spans="1:10" s="115" customFormat="1" ht="17.100000000000001" customHeight="1" x14ac:dyDescent="0.25">
      <c r="A17" s="312" t="s">
        <v>9</v>
      </c>
      <c r="B17" s="312" t="s">
        <v>10</v>
      </c>
      <c r="C17" s="312" t="s">
        <v>11</v>
      </c>
      <c r="D17" s="313" t="s">
        <v>6</v>
      </c>
      <c r="E17" s="562" t="s">
        <v>25</v>
      </c>
      <c r="F17" s="563"/>
      <c r="G17" s="559" t="s">
        <v>100</v>
      </c>
      <c r="H17" s="560"/>
      <c r="I17" s="560"/>
      <c r="J17" s="561"/>
    </row>
    <row r="18" spans="1:10" s="115" customFormat="1" ht="20.100000000000001" customHeight="1" x14ac:dyDescent="0.25">
      <c r="A18" s="314" t="str">
        <f>IF('B-BF'!A18="","",'B-BF'!A18)</f>
        <v>K1</v>
      </c>
      <c r="B18" s="314" t="str">
        <f>IF('B-BF'!B18="","",'B-BF'!B18)</f>
        <v>07.01.</v>
      </c>
      <c r="C18" s="322" t="str">
        <f>IF('B-BF'!C18="","",'B-BF'!C18)</f>
        <v>Metzger Müller zahlt Rechnung aus Vorjahr</v>
      </c>
      <c r="D18" s="88">
        <f>D12</f>
        <v>967.8</v>
      </c>
      <c r="E18" s="557" t="str">
        <f>IF('B-BF'!E18="","",'B-BF'!E18)</f>
        <v>bar</v>
      </c>
      <c r="F18" s="558"/>
      <c r="G18" s="323" t="s">
        <v>176</v>
      </c>
      <c r="H18" s="318" t="str">
        <f t="shared" ref="H18:H19" si="3">VLOOKUP(G18,KTOPL,2,0)</f>
        <v>Kassa</v>
      </c>
      <c r="I18" s="323" t="s">
        <v>177</v>
      </c>
      <c r="J18" s="318" t="str">
        <f t="shared" ref="J18:J19" si="4">VLOOKUP(I18,KTOPL,2,0)</f>
        <v>Metzger Müller</v>
      </c>
    </row>
    <row r="19" spans="1:10" s="115" customFormat="1" ht="20.100000000000001" customHeight="1" x14ac:dyDescent="0.25">
      <c r="A19" s="314" t="str">
        <f>IF('B-BF'!A19="","",'B-BF'!A19)</f>
        <v>B1</v>
      </c>
      <c r="B19" s="314" t="str">
        <f>IF('B-BF'!B19="","",'B-BF'!B19)</f>
        <v>10.01.</v>
      </c>
      <c r="C19" s="322" t="str">
        <f>IF('B-BF'!C19="","",'B-BF'!C19)</f>
        <v>Zahlung MR-Rechnung Vorjahr</v>
      </c>
      <c r="D19" s="88">
        <f>IF('B-BF'!D19="","",'B-BF'!D19)</f>
        <v>4991.7</v>
      </c>
      <c r="E19" s="557" t="str">
        <f>IF('B-BF'!E19="","",'B-BF'!E19)</f>
        <v>Überweisung</v>
      </c>
      <c r="F19" s="558"/>
      <c r="G19" s="323" t="s">
        <v>178</v>
      </c>
      <c r="H19" s="318" t="str">
        <f t="shared" si="3"/>
        <v>Maschinenring Imst</v>
      </c>
      <c r="I19" s="323" t="s">
        <v>113</v>
      </c>
      <c r="J19" s="318" t="str">
        <f t="shared" si="4"/>
        <v>Bank - betrieblich 1</v>
      </c>
    </row>
    <row r="20" spans="1:10" s="115" customFormat="1" ht="20.100000000000001" customHeight="1" x14ac:dyDescent="0.25">
      <c r="A20" s="314" t="str">
        <f>IF('B-BF'!A20="","",'B-BF'!A20)</f>
        <v>B2</v>
      </c>
      <c r="B20" s="314" t="str">
        <f>IF('B-BF'!B20="","",'B-BF'!B20)</f>
        <v>15.02.</v>
      </c>
      <c r="C20" s="315" t="str">
        <f>IF('B-BF'!C20="","",'B-BF'!C20)</f>
        <v>Treibstoffkauf</v>
      </c>
      <c r="D20" s="88">
        <f>IF('B-BF'!D20="","",'B-BF'!D20)</f>
        <v>432.2</v>
      </c>
      <c r="E20" s="557" t="str">
        <f>IF('B-BF'!E20="","",'B-BF'!E20)</f>
        <v>Überweisung</v>
      </c>
      <c r="F20" s="558"/>
      <c r="G20" s="323" t="s">
        <v>180</v>
      </c>
      <c r="H20" s="318" t="str">
        <f t="shared" ref="H20:H25" si="5">VLOOKUP(G20,KTOPL,2,0)</f>
        <v>Treibstoff Diesel</v>
      </c>
      <c r="I20" s="323" t="s">
        <v>113</v>
      </c>
      <c r="J20" s="318" t="str">
        <f t="shared" ref="J20:J25" si="6">VLOOKUP(I20,KTOPL,2,0)</f>
        <v>Bank - betrieblich 1</v>
      </c>
    </row>
    <row r="21" spans="1:10" s="115" customFormat="1" ht="20.100000000000001" customHeight="1" x14ac:dyDescent="0.25">
      <c r="A21" s="314" t="str">
        <f>IF('B-BF'!A21="","",'B-BF'!A21)</f>
        <v>A1</v>
      </c>
      <c r="B21" s="314" t="str">
        <f>IF('B-BF'!B21="","",'B-BF'!B21)</f>
        <v>21.03.</v>
      </c>
      <c r="C21" s="315" t="str">
        <f>IF('B-BF'!C21="","",'B-BF'!C21)</f>
        <v>Zuchtschafverkauf</v>
      </c>
      <c r="D21" s="88">
        <f>IF('B-BF'!D21="","",'B-BF'!D21)</f>
        <v>673.9</v>
      </c>
      <c r="E21" s="557" t="str">
        <f>IF('B-BF'!E21="","",'B-BF'!E21)</f>
        <v>Rechnung: Tiroler Schafzuchtverband (TSV)</v>
      </c>
      <c r="F21" s="558"/>
      <c r="G21" s="323" t="s">
        <v>181</v>
      </c>
      <c r="H21" s="318" t="str">
        <f t="shared" si="5"/>
        <v>Tiroler Schafzuchtverband (TSV)</v>
      </c>
      <c r="I21" s="323" t="s">
        <v>118</v>
      </c>
      <c r="J21" s="318" t="str">
        <f t="shared" si="6"/>
        <v>Einnahmen Schafe</v>
      </c>
    </row>
    <row r="22" spans="1:10" s="115" customFormat="1" ht="20.100000000000001" customHeight="1" x14ac:dyDescent="0.25">
      <c r="A22" s="314" t="str">
        <f>IF('B-BF'!A22="","",'B-BF'!A22)</f>
        <v>B3</v>
      </c>
      <c r="B22" s="314" t="str">
        <f>IF('B-BF'!B22="","",'B-BF'!B22)</f>
        <v>20.04.</v>
      </c>
      <c r="C22" s="322" t="str">
        <f>IF('B-BF'!C22="","",'B-BF'!C22)</f>
        <v>TSV überweist Vesteigerungsentgelt</v>
      </c>
      <c r="D22" s="88">
        <f>IF('B-BF'!D22="","",'B-BF'!D22)</f>
        <v>673.9</v>
      </c>
      <c r="E22" s="566" t="str">
        <f>IF('B-BF'!E22="","",'B-BF'!E22)</f>
        <v>Überweisung</v>
      </c>
      <c r="F22" s="567"/>
      <c r="G22" s="323" t="s">
        <v>113</v>
      </c>
      <c r="H22" s="318" t="str">
        <f t="shared" si="5"/>
        <v>Bank - betrieblich 1</v>
      </c>
      <c r="I22" s="323" t="s">
        <v>181</v>
      </c>
      <c r="J22" s="318" t="str">
        <f t="shared" si="6"/>
        <v>Tiroler Schafzuchtverband (TSV)</v>
      </c>
    </row>
    <row r="23" spans="1:10" s="115" customFormat="1" ht="20.100000000000001" customHeight="1" x14ac:dyDescent="0.25">
      <c r="A23" s="314" t="str">
        <f>IF('B-BF'!A23="","",'B-BF'!A23)</f>
        <v>B4</v>
      </c>
      <c r="B23" s="314" t="str">
        <f>IF('B-BF'!B23="","",'B-BF'!B23)</f>
        <v>09 06..</v>
      </c>
      <c r="C23" s="315" t="str">
        <f>IF('B-BF'!C23="","",'B-BF'!C23)</f>
        <v>Kauf Kreiselzetter</v>
      </c>
      <c r="D23" s="88">
        <f>IF('B-BF'!D23="","",'B-BF'!D23)</f>
        <v>13032.2</v>
      </c>
      <c r="E23" s="566" t="str">
        <f>IF('B-BF'!E23="","",'B-BF'!E23)</f>
        <v>Überweisung</v>
      </c>
      <c r="F23" s="567"/>
      <c r="G23" s="323" t="s">
        <v>172</v>
      </c>
      <c r="H23" s="318" t="str">
        <f t="shared" si="5"/>
        <v>Maschinen und Geräte</v>
      </c>
      <c r="I23" s="323" t="s">
        <v>113</v>
      </c>
      <c r="J23" s="318" t="str">
        <f t="shared" si="6"/>
        <v>Bank - betrieblich 1</v>
      </c>
    </row>
    <row r="24" spans="1:10" s="115" customFormat="1" ht="20.100000000000001" customHeight="1" x14ac:dyDescent="0.25">
      <c r="A24" s="314" t="str">
        <f>IF('B-BF'!A24="","",'B-BF'!A24)</f>
        <v>K2</v>
      </c>
      <c r="B24" s="314" t="str">
        <f>IF('B-BF'!B24="","",'B-BF'!B24)</f>
        <v>14.07.</v>
      </c>
      <c r="C24" s="322" t="str">
        <f>IF('B-BF'!C24="","",'B-BF'!C24)</f>
        <v>Milchgeld (Schafmilch, Sammelbeleg)</v>
      </c>
      <c r="D24" s="88">
        <f>IF('B-BF'!D24="","",'B-BF'!D24)</f>
        <v>3535.3</v>
      </c>
      <c r="E24" s="566" t="str">
        <f>IF('B-BF'!E24="","",'B-BF'!E24)</f>
        <v>bar</v>
      </c>
      <c r="F24" s="567"/>
      <c r="G24" s="323" t="s">
        <v>176</v>
      </c>
      <c r="H24" s="318" t="str">
        <f t="shared" si="5"/>
        <v>Kassa</v>
      </c>
      <c r="I24" s="323" t="s">
        <v>118</v>
      </c>
      <c r="J24" s="318" t="str">
        <f t="shared" si="6"/>
        <v>Einnahmen Schafe</v>
      </c>
    </row>
    <row r="25" spans="1:10" s="115" customFormat="1" ht="20.100000000000001" customHeight="1" x14ac:dyDescent="0.25">
      <c r="A25" s="314" t="str">
        <f>IF('B-BF'!A25="","",'B-BF'!A25)</f>
        <v>B5</v>
      </c>
      <c r="B25" s="314" t="str">
        <f>IF('B-BF'!B25="","",'B-BF'!B25)</f>
        <v>02.08.</v>
      </c>
      <c r="C25" s="315" t="str">
        <f>IF('B-BF'!C25="","",'B-BF'!C25)</f>
        <v>Wohnhausumbau</v>
      </c>
      <c r="D25" s="88">
        <f>IF('B-BF'!D25="","",'B-BF'!D25)</f>
        <v>10792.5</v>
      </c>
      <c r="E25" s="566" t="str">
        <f>IF('B-BF'!E25="","",'B-BF'!E25)</f>
        <v>Überweisung</v>
      </c>
      <c r="F25" s="567"/>
      <c r="G25" s="323" t="s">
        <v>125</v>
      </c>
      <c r="H25" s="318" t="str">
        <f t="shared" si="5"/>
        <v>Privat</v>
      </c>
      <c r="I25" s="323" t="s">
        <v>113</v>
      </c>
      <c r="J25" s="318" t="str">
        <f t="shared" si="6"/>
        <v>Bank - betrieblich 1</v>
      </c>
    </row>
    <row r="26" spans="1:10" s="115" customFormat="1" ht="11.1" customHeight="1" x14ac:dyDescent="0.25">
      <c r="A26" s="319" t="str">
        <f>IF('B-BF'!A26="","",'B-BF'!A26)</f>
        <v>B6</v>
      </c>
      <c r="B26" s="319" t="str">
        <f>IF('B-BF'!B26="","",'B-BF'!B26)</f>
        <v>08.09.</v>
      </c>
      <c r="C26" s="324" t="str">
        <f>IF('B-BF'!C26="","",'B-BF'!C26)</f>
        <v>Rückzahlung Darlehen</v>
      </c>
      <c r="D26" s="325" t="str">
        <f>IF('B-BF'!D26="","",'B-BF'!D26)</f>
        <v/>
      </c>
      <c r="E26" s="326" t="str">
        <f>IF('B-BF'!E26="","",'B-BF'!E26)</f>
        <v/>
      </c>
      <c r="F26" s="327" t="str">
        <f>IF('B-BF'!F26="","",'B-BF'!F26)</f>
        <v/>
      </c>
      <c r="G26" s="328"/>
      <c r="H26" s="96"/>
      <c r="I26" s="328"/>
      <c r="J26" s="85"/>
    </row>
    <row r="27" spans="1:10" s="115" customFormat="1" ht="11.1" customHeight="1" x14ac:dyDescent="0.25">
      <c r="A27" s="329" t="str">
        <f>IF('B-BF'!A27="","",'B-BF'!A27)</f>
        <v>B6</v>
      </c>
      <c r="B27" s="329" t="str">
        <f>IF('B-BF'!B27="","",'B-BF'!B27)</f>
        <v>08.09.</v>
      </c>
      <c r="C27" s="330" t="str">
        <f>IF('B-BF'!C27="","",'B-BF'!C27)</f>
        <v xml:space="preserve">Darl.: Tilgung </v>
      </c>
      <c r="D27" s="331">
        <f>IF('B-BF'!D27="","",'B-BF'!D27)</f>
        <v>1339.6</v>
      </c>
      <c r="E27" s="568" t="str">
        <f>IF('B-BF'!E27="","",'B-BF'!E27)</f>
        <v>Überweisung</v>
      </c>
      <c r="F27" s="569"/>
      <c r="G27" s="332" t="s">
        <v>179</v>
      </c>
      <c r="H27" s="333" t="str">
        <f t="shared" ref="H27" si="7">VLOOKUP(G27,KTOPL,2,0)</f>
        <v>Darlehen - betrieblich</v>
      </c>
      <c r="I27" s="332" t="s">
        <v>113</v>
      </c>
      <c r="J27" s="334" t="str">
        <f t="shared" ref="J27" si="8">VLOOKUP(I27,KTOPL,2,0)</f>
        <v>Bank - betrieblich 1</v>
      </c>
    </row>
    <row r="28" spans="1:10" s="115" customFormat="1" ht="11.1" customHeight="1" x14ac:dyDescent="0.25">
      <c r="A28" s="86" t="str">
        <f>IF('B-BF'!A28="","",'B-BF'!A28)</f>
        <v>B6</v>
      </c>
      <c r="B28" s="86" t="str">
        <f>IF('B-BF'!B28="","",'B-BF'!B28)</f>
        <v>08.09.</v>
      </c>
      <c r="C28" s="335" t="str">
        <f>IF('B-BF'!C28="","",'B-BF'!C28)</f>
        <v>Darl.: Zinsen</v>
      </c>
      <c r="D28" s="336">
        <f>IF('B-BF'!D28="","",'B-BF'!D28)</f>
        <v>558.1</v>
      </c>
      <c r="E28" s="564" t="str">
        <f>IF('B-BF'!E28="","",'B-BF'!E28)</f>
        <v>Überweisung</v>
      </c>
      <c r="F28" s="565"/>
      <c r="G28" s="337" t="s">
        <v>182</v>
      </c>
      <c r="H28" s="338" t="str">
        <f>VLOOKUP(G28,KTOPL,2,0)</f>
        <v>Zinsen für Bankkredite</v>
      </c>
      <c r="I28" s="108"/>
      <c r="J28" s="83"/>
    </row>
    <row r="29" spans="1:10" s="115" customFormat="1" ht="11.1" customHeight="1" x14ac:dyDescent="0.25">
      <c r="A29" s="319" t="str">
        <f>IF('B-BF'!A29="","",'B-BF'!A29)</f>
        <v>UB1</v>
      </c>
      <c r="B29" s="319" t="str">
        <f>IF('B-BF'!B29="","",'B-BF'!B29)</f>
        <v>30.11.</v>
      </c>
      <c r="C29" s="324" t="str">
        <f>IF('B-BF'!C29="","",'B-BF'!C29)</f>
        <v>Eigenverbrauch Schafmilchprodukte</v>
      </c>
      <c r="D29" s="325" t="str">
        <f>IF('B-BF'!D29="","",'B-BF'!D29)</f>
        <v/>
      </c>
      <c r="E29" s="326" t="str">
        <f>IF('B-BF'!E29="","",'B-BF'!E29)</f>
        <v/>
      </c>
      <c r="F29" s="327" t="str">
        <f>IF('B-BF'!F29="","",'B-BF'!F29)</f>
        <v/>
      </c>
      <c r="G29" s="339" t="s">
        <v>125</v>
      </c>
      <c r="H29" s="340" t="str">
        <f>VLOOKUP(G29,KTOPL,2,0)</f>
        <v>Privat</v>
      </c>
      <c r="I29" s="339" t="s">
        <v>118</v>
      </c>
      <c r="J29" s="340" t="str">
        <f>VLOOKUP(I29,KTOPL,2,0)</f>
        <v>Einnahmen Schafe</v>
      </c>
    </row>
    <row r="30" spans="1:10" s="115" customFormat="1" ht="11.1" customHeight="1" x14ac:dyDescent="0.25">
      <c r="A30" s="329" t="str">
        <f>IF('B-BF'!A30="","",'B-BF'!A30)</f>
        <v/>
      </c>
      <c r="B30" s="329" t="str">
        <f>IF('B-BF'!B30="","",'B-BF'!B30)</f>
        <v/>
      </c>
      <c r="C30" s="329" t="str">
        <f>IF('B-BF'!C30="","",'B-BF'!C30)</f>
        <v xml:space="preserve">Milch </v>
      </c>
      <c r="D30" s="331">
        <f>IF('B-BF'!D30="","",'B-BF'!D30)</f>
        <v>919.7</v>
      </c>
      <c r="E30" s="115" t="str">
        <f>IF('B-BF'!E30="","",'B-BF'!E30)</f>
        <v/>
      </c>
      <c r="F30" s="341" t="str">
        <f>IF('B-BF'!F30="","",'B-BF'!F30)</f>
        <v/>
      </c>
      <c r="G30" s="106"/>
      <c r="H30" s="107"/>
      <c r="I30" s="106"/>
      <c r="J30" s="107"/>
    </row>
    <row r="31" spans="1:10" s="115" customFormat="1" ht="11.1" customHeight="1" x14ac:dyDescent="0.25">
      <c r="A31" s="329" t="str">
        <f>IF('B-BF'!A31="","",'B-BF'!A31)</f>
        <v/>
      </c>
      <c r="B31" s="329" t="str">
        <f>IF('B-BF'!B31="","",'B-BF'!B31)</f>
        <v/>
      </c>
      <c r="C31" s="329" t="str">
        <f>IF('B-BF'!C31="","",'B-BF'!C31)</f>
        <v>Butter</v>
      </c>
      <c r="D31" s="331">
        <f>IF('B-BF'!D31="","",'B-BF'!D31)</f>
        <v>334.9</v>
      </c>
      <c r="E31" s="342" t="str">
        <f>IF('B-BF'!E31="","",'B-BF'!E31)</f>
        <v/>
      </c>
      <c r="F31" s="343">
        <f>IF('B-BF'!F31="","",'B-BF'!F31)</f>
        <v>1498.7999999999997</v>
      </c>
      <c r="G31" s="106"/>
      <c r="H31" s="107"/>
      <c r="I31" s="106"/>
      <c r="J31" s="107"/>
    </row>
    <row r="32" spans="1:10" s="115" customFormat="1" ht="11.1" customHeight="1" x14ac:dyDescent="0.25">
      <c r="A32" s="86" t="str">
        <f>IF('B-BF'!A32="","",'B-BF'!A32)</f>
        <v/>
      </c>
      <c r="B32" s="86" t="str">
        <f>IF('B-BF'!B32="","",'B-BF'!B32)</f>
        <v/>
      </c>
      <c r="C32" s="86" t="str">
        <f>IF('B-BF'!C32="","",'B-BF'!C32)</f>
        <v>Käse</v>
      </c>
      <c r="D32" s="336">
        <f>IF('B-BF'!D32="","",'B-BF'!D32)</f>
        <v>262.2</v>
      </c>
      <c r="E32" s="344" t="str">
        <f>IF('B-BF'!E32="","",'B-BF'!E32)</f>
        <v/>
      </c>
      <c r="F32" s="345" t="str">
        <f>IF('B-BF'!F32="","",'B-BF'!F32)</f>
        <v/>
      </c>
      <c r="G32" s="108"/>
      <c r="H32" s="109"/>
      <c r="I32" s="108"/>
      <c r="J32" s="109"/>
    </row>
    <row r="33" spans="1:8" s="115" customFormat="1" ht="18" customHeight="1" x14ac:dyDescent="0.25">
      <c r="A33" s="320"/>
      <c r="B33" s="320"/>
      <c r="D33" s="321"/>
    </row>
    <row r="34" spans="1:8" s="310" customFormat="1" ht="12.75" x14ac:dyDescent="0.25">
      <c r="A34" s="309" t="s">
        <v>64</v>
      </c>
      <c r="D34" s="311"/>
    </row>
    <row r="35" spans="1:8" s="115" customFormat="1" ht="17.100000000000001" customHeight="1" x14ac:dyDescent="0.25">
      <c r="A35" s="312" t="s">
        <v>9</v>
      </c>
      <c r="B35" s="312" t="s">
        <v>10</v>
      </c>
      <c r="C35" s="312" t="s">
        <v>11</v>
      </c>
      <c r="D35" s="313" t="s">
        <v>6</v>
      </c>
      <c r="E35" s="559" t="s">
        <v>100</v>
      </c>
      <c r="F35" s="560"/>
      <c r="G35" s="560"/>
      <c r="H35" s="561"/>
    </row>
    <row r="36" spans="1:8" s="115" customFormat="1" ht="17.100000000000001" customHeight="1" x14ac:dyDescent="0.25">
      <c r="A36" s="346" t="s">
        <v>65</v>
      </c>
      <c r="B36" s="167"/>
      <c r="C36" s="46"/>
      <c r="D36" s="347"/>
      <c r="E36" s="348"/>
      <c r="F36" s="349"/>
      <c r="G36" s="348"/>
      <c r="H36" s="350"/>
    </row>
    <row r="37" spans="1:8" s="115" customFormat="1" ht="20.100000000000001" customHeight="1" x14ac:dyDescent="0.25">
      <c r="A37" s="27" t="str">
        <f>IF('B-BF'!A37="","",'B-BF'!A37)</f>
        <v>AB</v>
      </c>
      <c r="B37" s="27" t="str">
        <f>IF('B-BF'!B37="","",'B-BF'!B37)</f>
        <v>31.12.</v>
      </c>
      <c r="C37" s="80" t="str">
        <f>IF('B-BF'!C37="","",'B-BF'!C37)</f>
        <v>Afa Gebäude</v>
      </c>
      <c r="D37" s="81">
        <f>IF('B-BF'!D37="","",'B-BF'!D37)</f>
        <v>4268.6000000000004</v>
      </c>
      <c r="E37" s="323" t="s">
        <v>183</v>
      </c>
      <c r="F37" s="318" t="str">
        <f>VLOOKUP(E37,KTOPL,2,0)</f>
        <v>Abschreibung Sachanlagevermögen</v>
      </c>
      <c r="G37" s="323" t="s">
        <v>170</v>
      </c>
      <c r="H37" s="318" t="str">
        <f>VLOOKUP(G37,KTOPL,2,0)</f>
        <v>Betriebs- und Geschäftsgebäude</v>
      </c>
    </row>
    <row r="38" spans="1:8" s="115" customFormat="1" ht="20.100000000000001" customHeight="1" x14ac:dyDescent="0.25">
      <c r="A38" s="27" t="str">
        <f>IF('B-BF'!A38="","",'B-BF'!A38)</f>
        <v>AB</v>
      </c>
      <c r="B38" s="40" t="str">
        <f>IF('B-BF'!B38="","",'B-BF'!B38)</f>
        <v>31.12.</v>
      </c>
      <c r="C38" s="80" t="str">
        <f>IF('B-BF'!C38="","",'B-BF'!C38)</f>
        <v>Afa Maschinen</v>
      </c>
      <c r="D38" s="81">
        <f>IF('B-BF'!D38="","",'B-BF'!D38)</f>
        <v>3423.7</v>
      </c>
      <c r="E38" s="323" t="s">
        <v>183</v>
      </c>
      <c r="F38" s="318" t="str">
        <f>VLOOKUP(E38,KTOPL,2,0)</f>
        <v>Abschreibung Sachanlagevermögen</v>
      </c>
      <c r="G38" s="323" t="s">
        <v>172</v>
      </c>
      <c r="H38" s="318" t="str">
        <f>VLOOKUP(G38,KTOPL,2,0)</f>
        <v>Maschinen und Geräte</v>
      </c>
    </row>
    <row r="39" spans="1:8" s="115" customFormat="1" ht="17.100000000000001" customHeight="1" x14ac:dyDescent="0.25">
      <c r="A39" s="351" t="s">
        <v>70</v>
      </c>
      <c r="B39" s="170"/>
      <c r="C39" s="47"/>
      <c r="D39" s="352"/>
      <c r="E39" s="353"/>
      <c r="F39" s="353"/>
      <c r="G39" s="353"/>
      <c r="H39" s="354"/>
    </row>
    <row r="40" spans="1:8" s="115" customFormat="1" ht="20.100000000000001" customHeight="1" x14ac:dyDescent="0.25">
      <c r="A40" s="314" t="str">
        <f>IF('B-BF'!A40="","",'B-BF'!A40)</f>
        <v>AB</v>
      </c>
      <c r="B40" s="314" t="str">
        <f>IF('B-BF'!B40="","",'B-BF'!B40)</f>
        <v>31.12.</v>
      </c>
      <c r="C40" s="315" t="str">
        <f>IF('B-BF'!C40="","",'B-BF'!C40)</f>
        <v>Mehrwert Schafe</v>
      </c>
      <c r="D40" s="88">
        <f>IF('B-BF'!D40="","",'B-BF'!D40)</f>
        <v>502.9</v>
      </c>
      <c r="E40" s="355" t="s">
        <v>173</v>
      </c>
      <c r="F40" s="318" t="str">
        <f>VLOOKUP(E40,KTOPL,2,0)</f>
        <v>Bestand Vieh</v>
      </c>
      <c r="G40" s="323" t="s">
        <v>118</v>
      </c>
      <c r="H40" s="318" t="str">
        <f>VLOOKUP(G40,KTOPL,2,0)</f>
        <v>Einnahmen Schafe</v>
      </c>
    </row>
    <row r="41" spans="1:8" s="115" customFormat="1" ht="20.100000000000001" customHeight="1" x14ac:dyDescent="0.25">
      <c r="A41" s="314" t="str">
        <f>IF('B-BF'!A41="","",'B-BF'!A41)</f>
        <v>AB</v>
      </c>
      <c r="B41" s="314" t="str">
        <f>IF('B-BF'!B41="","",'B-BF'!B41)</f>
        <v>31.12.</v>
      </c>
      <c r="C41" s="322" t="str">
        <f>IF('B-BF'!C41="","",'B-BF'!C41)</f>
        <v>Minderwert se. Vorr. (Schafskäse)</v>
      </c>
      <c r="D41" s="88">
        <f>IF('B-BF'!D41="","",'B-BF'!D41)</f>
        <v>1041.5999999999999</v>
      </c>
      <c r="E41" s="323" t="s">
        <v>118</v>
      </c>
      <c r="F41" s="318" t="str">
        <f>VLOOKUP(E41,KTOPL,2,0)</f>
        <v>Einnahmen Schafe</v>
      </c>
      <c r="G41" s="323" t="s">
        <v>174</v>
      </c>
      <c r="H41" s="318" t="str">
        <f>VLOOKUP(G41,KTOPL,2,0)</f>
        <v>Selbst erzeugte Vorräte</v>
      </c>
    </row>
    <row r="42" spans="1:8" s="115" customFormat="1" ht="20.100000000000001" customHeight="1" x14ac:dyDescent="0.25">
      <c r="A42" s="314" t="str">
        <f>IF('B-BF'!A42="","",'B-BF'!A42)</f>
        <v>AB</v>
      </c>
      <c r="B42" s="314" t="str">
        <f>IF('B-BF'!B42="","",'B-BF'!B42)</f>
        <v>31.12.</v>
      </c>
      <c r="C42" s="322" t="str">
        <f>IF('B-BF'!C42="","",'B-BF'!C42)</f>
        <v>Mehrwert zk. Vorr. (Treibstoff)</v>
      </c>
      <c r="D42" s="88">
        <f>IF('B-BF'!D42="","",'B-BF'!D42)</f>
        <v>260.10000000000002</v>
      </c>
      <c r="E42" s="323" t="s">
        <v>175</v>
      </c>
      <c r="F42" s="318" t="str">
        <f>VLOOKUP(E42,KTOPL,2,0)</f>
        <v>Zugekaufte Vorräte 20%</v>
      </c>
      <c r="G42" s="323" t="s">
        <v>180</v>
      </c>
      <c r="H42" s="318" t="str">
        <f>VLOOKUP(G42,KTOPL,2,0)</f>
        <v>Treibstoff Diesel</v>
      </c>
    </row>
    <row r="43" spans="1:8" x14ac:dyDescent="0.25"/>
  </sheetData>
  <sheetProtection algorithmName="SHA-512" hashValue="qa/2UxGWwKxdN89JaN/12/EhQnKO+rU/vDTE9hxkjSxrD6C4Hd9fAtA1hDy1wxwzRU6iII1YXwBxzbOJrqFYZA==" saltValue="eP5sLLRxmewD2n36A+9Sew==" spinCount="100000" sheet="1" objects="1" scenarios="1" selectLockedCells="1" selectUnlockedCells="1"/>
  <mergeCells count="14">
    <mergeCell ref="E28:F28"/>
    <mergeCell ref="E35:H35"/>
    <mergeCell ref="E21:F21"/>
    <mergeCell ref="E22:F22"/>
    <mergeCell ref="E23:F23"/>
    <mergeCell ref="E24:F24"/>
    <mergeCell ref="E25:F25"/>
    <mergeCell ref="E27:F27"/>
    <mergeCell ref="E20:F20"/>
    <mergeCell ref="E4:H4"/>
    <mergeCell ref="E17:F17"/>
    <mergeCell ref="G17:J17"/>
    <mergeCell ref="E18:F18"/>
    <mergeCell ref="E19:F19"/>
  </mergeCells>
  <dataValidations count="1">
    <dataValidation type="list" allowBlank="1" showInputMessage="1" showErrorMessage="1" sqref="E40:E42 G27:G29 G5:G14 E37:E38 G40:G42 E5:E14 G37:G38 I27 G18:G25 I18:I25 I29" xr:uid="{00000000-0002-0000-0800-000000000000}">
      <formula1>KTONR</formula1>
    </dataValidation>
  </dataValidations>
  <pageMargins left="0.59055118110236227" right="0.39370078740157483" top="0.78740157480314965" bottom="0.59055118110236227" header="0.39370078740157483" footer="0.31496062992125984"/>
  <pageSetup paperSize="9" scale="95" orientation="portrait" blackAndWhite="1" r:id="rId1"/>
  <headerFooter>
    <oddFooter>&amp;R&amp;"+,Fett"&amp;8Seite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A1:S103"/>
  <sheetViews>
    <sheetView showGridLines="0" showRowColHeaders="0" workbookViewId="0">
      <pane ySplit="2" topLeftCell="A3" activePane="bottomLeft" state="frozen"/>
      <selection activeCell="A2" sqref="A1:A1048576"/>
      <selection pane="bottomLeft" activeCell="A2" sqref="A1:A1048576"/>
    </sheetView>
  </sheetViews>
  <sheetFormatPr baseColWidth="10" defaultColWidth="0" defaultRowHeight="15" zeroHeight="1" x14ac:dyDescent="0.25"/>
  <cols>
    <col min="1" max="1" width="0.140625" style="95" customWidth="1"/>
    <col min="2" max="2" width="4.7109375" hidden="1" customWidth="1"/>
    <col min="3" max="3" width="5.7109375" customWidth="1"/>
    <col min="4" max="4" width="22.7109375" customWidth="1"/>
    <col min="5" max="6" width="11.7109375" customWidth="1"/>
    <col min="7" max="7" width="1.7109375" customWidth="1"/>
    <col min="8" max="8" width="4.7109375" customWidth="1"/>
    <col min="9" max="9" width="5.7109375" customWidth="1"/>
    <col min="10" max="10" width="22.7109375" customWidth="1"/>
    <col min="11" max="12" width="11.7109375" customWidth="1"/>
    <col min="13" max="13" width="1.7109375" customWidth="1"/>
    <col min="14" max="14" width="4.7109375" customWidth="1"/>
    <col min="15" max="15" width="5.7109375" customWidth="1"/>
    <col min="16" max="16" width="22.7109375" customWidth="1"/>
    <col min="17" max="18" width="11.7109375" customWidth="1"/>
    <col min="19" max="19" width="2.7109375" customWidth="1"/>
    <col min="20" max="16384" width="11.42578125" hidden="1"/>
  </cols>
  <sheetData>
    <row r="1" spans="1:19" s="115" customFormat="1" ht="27" customHeight="1" x14ac:dyDescent="0.25">
      <c r="A1" s="306" t="s">
        <v>101</v>
      </c>
      <c r="B1" s="306"/>
      <c r="C1" s="306"/>
      <c r="D1" s="306"/>
      <c r="E1" s="306"/>
      <c r="F1" s="306"/>
      <c r="G1" s="306"/>
      <c r="H1" s="306"/>
      <c r="I1" s="306"/>
      <c r="J1" s="306"/>
      <c r="K1" s="306"/>
      <c r="L1" s="306"/>
      <c r="M1" s="306"/>
      <c r="N1" s="306"/>
      <c r="O1" s="306"/>
      <c r="P1" s="306"/>
      <c r="Q1" s="306"/>
      <c r="R1" s="306"/>
      <c r="S1" s="306"/>
    </row>
    <row r="2" spans="1:19" s="115" customFormat="1" ht="30" customHeight="1" x14ac:dyDescent="0.25">
      <c r="A2" s="453"/>
      <c r="B2" s="117"/>
      <c r="C2" s="117"/>
      <c r="D2" s="118"/>
      <c r="E2" s="119"/>
      <c r="F2" s="119"/>
      <c r="G2" s="117"/>
      <c r="H2" s="117"/>
      <c r="I2" s="117"/>
      <c r="J2" s="120"/>
      <c r="K2" s="119"/>
      <c r="L2" s="119"/>
      <c r="M2" s="117"/>
      <c r="N2" s="117"/>
      <c r="O2" s="117"/>
      <c r="P2" s="118"/>
      <c r="Q2" s="119"/>
      <c r="R2" s="119"/>
    </row>
    <row r="3" spans="1:19" s="115" customFormat="1" ht="20.100000000000001" customHeight="1" x14ac:dyDescent="0.25">
      <c r="A3" s="457"/>
      <c r="B3" s="533"/>
      <c r="C3" s="122"/>
      <c r="D3" s="123" t="str">
        <f>IF(F3="","",VLOOKUP(F3,KTOPL,2,0))</f>
        <v>Maschinen und Geräte</v>
      </c>
      <c r="E3" s="124" t="s">
        <v>105</v>
      </c>
      <c r="F3" s="125" t="s">
        <v>172</v>
      </c>
      <c r="H3" s="121"/>
      <c r="I3" s="122"/>
      <c r="J3" s="123" t="str">
        <f>IF(L3="","",VLOOKUP(L3,KTOPL,2,0))</f>
        <v>Betriebs- und Geschäftsgebäude</v>
      </c>
      <c r="K3" s="124" t="s">
        <v>105</v>
      </c>
      <c r="L3" s="125" t="s">
        <v>170</v>
      </c>
      <c r="N3" s="126"/>
      <c r="O3" s="127"/>
      <c r="P3" s="128" t="str">
        <f>IF(R3="","",VLOOKUP(R3,KTOPL,2,0))</f>
        <v>Zugekaufte Vorräte 20%</v>
      </c>
      <c r="Q3" s="129" t="s">
        <v>105</v>
      </c>
      <c r="R3" s="130" t="s">
        <v>175</v>
      </c>
    </row>
    <row r="4" spans="1:19" s="115" customFormat="1" ht="20.100000000000001" customHeight="1" x14ac:dyDescent="0.25">
      <c r="A4" s="465" t="s">
        <v>106</v>
      </c>
      <c r="B4" s="131"/>
      <c r="C4" s="132" t="s">
        <v>107</v>
      </c>
      <c r="D4" s="131" t="s">
        <v>11</v>
      </c>
      <c r="E4" s="133" t="s">
        <v>108</v>
      </c>
      <c r="F4" s="133" t="s">
        <v>109</v>
      </c>
      <c r="H4" s="131" t="s">
        <v>106</v>
      </c>
      <c r="I4" s="132" t="s">
        <v>107</v>
      </c>
      <c r="J4" s="131" t="s">
        <v>11</v>
      </c>
      <c r="K4" s="133" t="s">
        <v>108</v>
      </c>
      <c r="L4" s="133" t="s">
        <v>109</v>
      </c>
      <c r="N4" s="134" t="s">
        <v>106</v>
      </c>
      <c r="O4" s="135" t="s">
        <v>107</v>
      </c>
      <c r="P4" s="134" t="s">
        <v>11</v>
      </c>
      <c r="Q4" s="136" t="s">
        <v>108</v>
      </c>
      <c r="R4" s="136" t="s">
        <v>109</v>
      </c>
    </row>
    <row r="5" spans="1:19" s="115" customFormat="1" ht="20.100000000000001" customHeight="1" x14ac:dyDescent="0.25">
      <c r="A5" s="535" t="str">
        <f>'H-BF'!A5</f>
        <v>EB</v>
      </c>
      <c r="B5" s="187"/>
      <c r="C5" s="188" t="str">
        <f>'H-BF'!B5</f>
        <v>01.01.</v>
      </c>
      <c r="D5" s="137" t="str">
        <f>'H-BF'!C6</f>
        <v>AB Maschinen</v>
      </c>
      <c r="E5" s="189">
        <f>'H-BF'!D6</f>
        <v>91916.9</v>
      </c>
      <c r="F5" s="190"/>
      <c r="G5" s="356"/>
      <c r="H5" s="187" t="str">
        <f>'H-BF'!A6</f>
        <v>EB</v>
      </c>
      <c r="I5" s="188" t="str">
        <f>'H-BF'!B6</f>
        <v>01.01.</v>
      </c>
      <c r="J5" s="137" t="str">
        <f>'H-BF'!C5</f>
        <v>AB Gebäude</v>
      </c>
      <c r="K5" s="189">
        <f>'H-BF'!D5</f>
        <v>55448.2</v>
      </c>
      <c r="L5" s="190"/>
      <c r="M5" s="356"/>
      <c r="N5" s="187" t="str">
        <f>'H-BF'!A9</f>
        <v>EB</v>
      </c>
      <c r="O5" s="188" t="str">
        <f>'H-BF'!B9</f>
        <v>01.01.</v>
      </c>
      <c r="P5" s="137" t="str">
        <f>'H-BF'!C9</f>
        <v>AB Vorräte zugekaufte</v>
      </c>
      <c r="Q5" s="189">
        <f>'H-BF'!D9</f>
        <v>3348.9</v>
      </c>
      <c r="R5" s="190"/>
    </row>
    <row r="6" spans="1:19" s="115" customFormat="1" ht="20.100000000000001" customHeight="1" x14ac:dyDescent="0.25">
      <c r="A6" s="536" t="str">
        <f>'H-BF'!A23</f>
        <v>B4</v>
      </c>
      <c r="B6" s="191"/>
      <c r="C6" s="192" t="str">
        <f>'H-BF'!B23</f>
        <v>09 06..</v>
      </c>
      <c r="D6" s="138" t="str">
        <f>'H-BF'!C23</f>
        <v>Kauf Kreiselzetter</v>
      </c>
      <c r="E6" s="193">
        <f>'H-BF'!D23</f>
        <v>13032.2</v>
      </c>
      <c r="F6" s="193"/>
      <c r="G6" s="356"/>
      <c r="H6" s="191" t="str">
        <f>'H-BF'!A37</f>
        <v>AB</v>
      </c>
      <c r="I6" s="192" t="str">
        <f>'H-BF'!B37</f>
        <v>31.12.</v>
      </c>
      <c r="J6" s="138" t="str">
        <f>'H-BF'!C37</f>
        <v>Afa Gebäude</v>
      </c>
      <c r="K6" s="193"/>
      <c r="L6" s="193">
        <f>'H-BF'!D37</f>
        <v>4268.6000000000004</v>
      </c>
      <c r="M6" s="356"/>
      <c r="N6" s="191" t="str">
        <f>'H-BF'!A42</f>
        <v>AB</v>
      </c>
      <c r="O6" s="192" t="str">
        <f>'H-BF'!B42</f>
        <v>31.12.</v>
      </c>
      <c r="P6" s="138" t="str">
        <f>'H-BF'!C42</f>
        <v>Mehrwert zk. Vorr. (Treibstoff)</v>
      </c>
      <c r="Q6" s="193">
        <f>'H-BF'!D42</f>
        <v>260.10000000000002</v>
      </c>
      <c r="R6" s="193"/>
    </row>
    <row r="7" spans="1:19" s="115" customFormat="1" ht="20.100000000000001" customHeight="1" x14ac:dyDescent="0.25">
      <c r="A7" s="536" t="str">
        <f>'H-BF'!A38</f>
        <v>AB</v>
      </c>
      <c r="B7" s="191"/>
      <c r="C7" s="357" t="str">
        <f>'H-BF'!B38</f>
        <v>31.12.</v>
      </c>
      <c r="D7" s="138" t="str">
        <f>'H-BF'!C38</f>
        <v>Afa Maschinen</v>
      </c>
      <c r="E7" s="193"/>
      <c r="F7" s="193">
        <f>'H-BF'!D38</f>
        <v>3423.7</v>
      </c>
      <c r="G7" s="356"/>
      <c r="H7" s="191"/>
      <c r="I7" s="192"/>
      <c r="J7" s="138"/>
      <c r="K7" s="193"/>
      <c r="L7" s="193"/>
      <c r="M7" s="356"/>
      <c r="N7" s="191"/>
      <c r="O7" s="192"/>
      <c r="P7" s="138"/>
      <c r="Q7" s="193"/>
      <c r="R7" s="193"/>
    </row>
    <row r="8" spans="1:19" s="115" customFormat="1" ht="20.100000000000001" customHeight="1" x14ac:dyDescent="0.25">
      <c r="A8" s="436" t="s">
        <v>66</v>
      </c>
      <c r="B8" s="194"/>
      <c r="C8" s="195" t="s">
        <v>67</v>
      </c>
      <c r="D8" s="194" t="s">
        <v>110</v>
      </c>
      <c r="E8" s="196" t="str">
        <f>IF(SUM(E5:E7)&gt;=SUM(F5:F7),"",F9-SUM(E5:E7))</f>
        <v/>
      </c>
      <c r="F8" s="196">
        <f>IF(SUM(F5:F7)&gt;=SUM(E5:E7),"",E9-SUM(F5:F7))</f>
        <v>101525.4</v>
      </c>
      <c r="G8" s="356"/>
      <c r="H8" s="194" t="s">
        <v>66</v>
      </c>
      <c r="I8" s="195" t="s">
        <v>67</v>
      </c>
      <c r="J8" s="194" t="s">
        <v>110</v>
      </c>
      <c r="K8" s="196" t="str">
        <f>IF(SUM(K5:K7)&gt;=SUM(L5:L7),"",L9-SUM(K5:K7))</f>
        <v/>
      </c>
      <c r="L8" s="196">
        <f>IF(SUM(L5:L7)&gt;=SUM(K5:K7),"",K9-SUM(L5:L7))</f>
        <v>51179.6</v>
      </c>
      <c r="M8" s="356"/>
      <c r="N8" s="194" t="s">
        <v>66</v>
      </c>
      <c r="O8" s="195" t="s">
        <v>67</v>
      </c>
      <c r="P8" s="194" t="s">
        <v>110</v>
      </c>
      <c r="Q8" s="196" t="str">
        <f>IF(SUM(Q5:Q7)&gt;=SUM(R5:R7),"",R9-SUM(Q5:Q7))</f>
        <v/>
      </c>
      <c r="R8" s="196">
        <f>IF(SUM(R5:R7)&gt;=SUM(Q5:Q7),"",Q9-SUM(R5:R7))</f>
        <v>3609</v>
      </c>
    </row>
    <row r="9" spans="1:19" s="115" customFormat="1" ht="20.100000000000001" customHeight="1" thickBot="1" x14ac:dyDescent="0.3">
      <c r="A9" s="408"/>
      <c r="B9" s="139"/>
      <c r="C9" s="140"/>
      <c r="D9" s="141" t="s">
        <v>111</v>
      </c>
      <c r="E9" s="142">
        <f>IF(SUM(E5:E8)=0,"",SUM(E5:E8))</f>
        <v>104949.09999999999</v>
      </c>
      <c r="F9" s="142">
        <f>IF(SUM(F5:F8)=0,"",SUM(F5:F8))</f>
        <v>104949.09999999999</v>
      </c>
      <c r="H9" s="139"/>
      <c r="I9" s="140"/>
      <c r="J9" s="141" t="s">
        <v>111</v>
      </c>
      <c r="K9" s="142">
        <f>IF(SUM(K5:K8)=0,"",SUM(K5:K8))</f>
        <v>55448.2</v>
      </c>
      <c r="L9" s="142">
        <f>IF(SUM(L5:L8)=0,"",SUM(L5:L8))</f>
        <v>55448.2</v>
      </c>
      <c r="N9" s="139"/>
      <c r="O9" s="140"/>
      <c r="P9" s="141" t="s">
        <v>111</v>
      </c>
      <c r="Q9" s="142">
        <f>IF(SUM(Q5:Q8)=0,"",SUM(Q5:Q8))</f>
        <v>3609</v>
      </c>
      <c r="R9" s="142">
        <f>IF(SUM(R5:R8)=0,"",SUM(R5:R8))</f>
        <v>3609</v>
      </c>
    </row>
    <row r="10" spans="1:19" s="115" customFormat="1" ht="20.100000000000001" customHeight="1" thickTop="1" x14ac:dyDescent="0.25">
      <c r="A10" s="6"/>
      <c r="C10" s="143"/>
      <c r="D10" s="144"/>
      <c r="E10" s="145"/>
      <c r="F10" s="145"/>
      <c r="I10" s="143"/>
      <c r="K10" s="145"/>
      <c r="L10" s="145"/>
      <c r="O10" s="143"/>
      <c r="P10" s="144"/>
      <c r="Q10" s="145"/>
      <c r="R10" s="145"/>
    </row>
    <row r="11" spans="1:19" s="115" customFormat="1" ht="20.100000000000001" customHeight="1" x14ac:dyDescent="0.25">
      <c r="A11" s="477"/>
      <c r="B11" s="534"/>
      <c r="C11" s="147"/>
      <c r="D11" s="148" t="str">
        <f>IF(F11="","",VLOOKUP(F11,KTOPL,2,0))</f>
        <v>Kassa</v>
      </c>
      <c r="E11" s="149" t="s">
        <v>105</v>
      </c>
      <c r="F11" s="150" t="s">
        <v>176</v>
      </c>
      <c r="H11" s="146"/>
      <c r="I11" s="147"/>
      <c r="J11" s="148" t="str">
        <f>IF(L11="","",VLOOKUP(L11,KTOPL,2,0))</f>
        <v>Bank - betrieblich 1</v>
      </c>
      <c r="K11" s="149" t="s">
        <v>105</v>
      </c>
      <c r="L11" s="150" t="s">
        <v>113</v>
      </c>
      <c r="N11" s="126"/>
      <c r="O11" s="127"/>
      <c r="P11" s="128" t="str">
        <f>IF(R11="","",VLOOKUP(R11,KTOPL,2,0))</f>
        <v>Selbst erzeugte Vorräte</v>
      </c>
      <c r="Q11" s="129" t="s">
        <v>105</v>
      </c>
      <c r="R11" s="130" t="s">
        <v>174</v>
      </c>
    </row>
    <row r="12" spans="1:19" s="115" customFormat="1" ht="20.100000000000001" customHeight="1" x14ac:dyDescent="0.25">
      <c r="A12" s="482" t="s">
        <v>106</v>
      </c>
      <c r="B12" s="151"/>
      <c r="C12" s="152" t="s">
        <v>107</v>
      </c>
      <c r="D12" s="151" t="s">
        <v>11</v>
      </c>
      <c r="E12" s="153" t="s">
        <v>108</v>
      </c>
      <c r="F12" s="153" t="s">
        <v>109</v>
      </c>
      <c r="H12" s="151" t="s">
        <v>106</v>
      </c>
      <c r="I12" s="152" t="s">
        <v>107</v>
      </c>
      <c r="J12" s="151" t="s">
        <v>11</v>
      </c>
      <c r="K12" s="153" t="s">
        <v>108</v>
      </c>
      <c r="L12" s="153" t="s">
        <v>109</v>
      </c>
      <c r="N12" s="134" t="s">
        <v>106</v>
      </c>
      <c r="O12" s="135" t="s">
        <v>107</v>
      </c>
      <c r="P12" s="134" t="s">
        <v>11</v>
      </c>
      <c r="Q12" s="136" t="s">
        <v>108</v>
      </c>
      <c r="R12" s="136" t="s">
        <v>109</v>
      </c>
    </row>
    <row r="13" spans="1:19" s="115" customFormat="1" ht="20.100000000000001" customHeight="1" x14ac:dyDescent="0.25">
      <c r="A13" s="535" t="str">
        <f>'H-BF'!A10</f>
        <v>EB</v>
      </c>
      <c r="B13" s="187"/>
      <c r="C13" s="188" t="str">
        <f>'H-BF'!B10</f>
        <v>01.01.</v>
      </c>
      <c r="D13" s="137" t="str">
        <f>'H-BF'!C10</f>
        <v>AB Kassa (Bargeld)</v>
      </c>
      <c r="E13" s="189">
        <f>'H-BF'!D10</f>
        <v>558.1</v>
      </c>
      <c r="F13" s="190"/>
      <c r="G13" s="356"/>
      <c r="H13" s="187" t="str">
        <f>'H-BF'!A11</f>
        <v>EB</v>
      </c>
      <c r="I13" s="188" t="str">
        <f>'H-BF'!B11</f>
        <v>01.01.</v>
      </c>
      <c r="J13" s="137" t="str">
        <f>'H-BF'!C11</f>
        <v>AB Giro (Bankguthaben)</v>
      </c>
      <c r="K13" s="189">
        <f>'H-BF'!D11</f>
        <v>30708.9</v>
      </c>
      <c r="L13" s="190"/>
      <c r="M13" s="356"/>
      <c r="N13" s="187" t="str">
        <f>'H-BF'!A8</f>
        <v>EB</v>
      </c>
      <c r="O13" s="188" t="str">
        <f>'H-BF'!B8</f>
        <v>01.01.</v>
      </c>
      <c r="P13" s="137" t="str">
        <f>'H-BF'!C8</f>
        <v>AB Vorräte selbsterz.</v>
      </c>
      <c r="Q13" s="189">
        <f>'H-BF'!D8</f>
        <v>2529.6</v>
      </c>
      <c r="R13" s="190"/>
    </row>
    <row r="14" spans="1:19" s="115" customFormat="1" ht="20.100000000000001" customHeight="1" x14ac:dyDescent="0.25">
      <c r="A14" s="536" t="str">
        <f>'H-BF'!A18</f>
        <v>K1</v>
      </c>
      <c r="B14" s="191"/>
      <c r="C14" s="192" t="str">
        <f>'H-BF'!B18</f>
        <v>07.01.</v>
      </c>
      <c r="D14" s="138" t="str">
        <f>'H-BF'!C18</f>
        <v>Metzger Müller zahlt Rechnung aus Vorjahr</v>
      </c>
      <c r="E14" s="193">
        <f>'H-BF'!D18</f>
        <v>967.8</v>
      </c>
      <c r="F14" s="193"/>
      <c r="G14" s="356"/>
      <c r="H14" s="191" t="str">
        <f>'H-BF'!A19</f>
        <v>B1</v>
      </c>
      <c r="I14" s="192" t="str">
        <f>'H-BF'!B19</f>
        <v>10.01.</v>
      </c>
      <c r="J14" s="138" t="str">
        <f>'H-BF'!C19</f>
        <v>Zahlung MR-Rechnung Vorjahr</v>
      </c>
      <c r="K14" s="193"/>
      <c r="L14" s="193">
        <f>'H-BF'!D19</f>
        <v>4991.7</v>
      </c>
      <c r="M14" s="356"/>
      <c r="N14" s="191" t="str">
        <f>'H-BF'!A41</f>
        <v>AB</v>
      </c>
      <c r="O14" s="192" t="str">
        <f>'H-BF'!B41</f>
        <v>31.12.</v>
      </c>
      <c r="P14" s="138" t="str">
        <f>'H-BF'!C41</f>
        <v>Minderwert se. Vorr. (Schafskäse)</v>
      </c>
      <c r="Q14" s="193"/>
      <c r="R14" s="193">
        <f>'H-BF'!D41</f>
        <v>1041.5999999999999</v>
      </c>
    </row>
    <row r="15" spans="1:19" s="115" customFormat="1" ht="20.100000000000001" customHeight="1" x14ac:dyDescent="0.25">
      <c r="A15" s="536" t="str">
        <f>'H-BF'!A24</f>
        <v>K2</v>
      </c>
      <c r="B15" s="191"/>
      <c r="C15" s="192" t="str">
        <f>'H-BF'!B24</f>
        <v>14.07.</v>
      </c>
      <c r="D15" s="138" t="str">
        <f>'H-BF'!C24</f>
        <v>Milchgeld (Schafmilch, Sammelbeleg)</v>
      </c>
      <c r="E15" s="193">
        <f>'H-BF'!D24</f>
        <v>3535.3</v>
      </c>
      <c r="F15" s="193"/>
      <c r="G15" s="356"/>
      <c r="H15" s="191" t="str">
        <f>'H-BF'!A20</f>
        <v>B2</v>
      </c>
      <c r="I15" s="192" t="str">
        <f>'H-BF'!B20</f>
        <v>15.02.</v>
      </c>
      <c r="J15" s="138" t="str">
        <f>'H-BF'!C20</f>
        <v>Treibstoffkauf</v>
      </c>
      <c r="K15" s="193"/>
      <c r="L15" s="193">
        <f>'H-BF'!D20</f>
        <v>432.2</v>
      </c>
      <c r="M15" s="356"/>
      <c r="N15" s="191"/>
      <c r="O15" s="192"/>
      <c r="P15" s="138"/>
      <c r="Q15" s="193"/>
      <c r="R15" s="193"/>
    </row>
    <row r="16" spans="1:19" s="115" customFormat="1" ht="20.100000000000001" customHeight="1" x14ac:dyDescent="0.25">
      <c r="A16" s="436" t="s">
        <v>66</v>
      </c>
      <c r="B16" s="194"/>
      <c r="C16" s="195" t="s">
        <v>67</v>
      </c>
      <c r="D16" s="194" t="s">
        <v>110</v>
      </c>
      <c r="E16" s="196" t="str">
        <f>IF(SUM(E13:E15)&gt;=SUM(F13:F15),"",F17-SUM(E13:E15))</f>
        <v/>
      </c>
      <c r="F16" s="196">
        <f>IF(SUM(F13:F15)&gt;=SUM(E13:E15),"",E17-SUM(F13:F15))</f>
        <v>5061.2000000000007</v>
      </c>
      <c r="G16" s="356"/>
      <c r="H16" s="191" t="str">
        <f>'H-BF'!A22</f>
        <v>B3</v>
      </c>
      <c r="I16" s="192" t="str">
        <f>'H-BF'!B22</f>
        <v>20.04.</v>
      </c>
      <c r="J16" s="138" t="str">
        <f>'H-BF'!C22</f>
        <v>TSV überweist Vesteigerungsentgelt</v>
      </c>
      <c r="K16" s="193">
        <f>'H-BF'!D22</f>
        <v>673.9</v>
      </c>
      <c r="L16" s="193"/>
      <c r="M16" s="356"/>
      <c r="N16" s="194" t="s">
        <v>66</v>
      </c>
      <c r="O16" s="195" t="s">
        <v>67</v>
      </c>
      <c r="P16" s="194" t="s">
        <v>110</v>
      </c>
      <c r="Q16" s="196" t="str">
        <f>IF(SUM(Q13:Q15)&gt;=SUM(R13:R15),"",R17-SUM(Q13:Q15))</f>
        <v/>
      </c>
      <c r="R16" s="196">
        <f>IF(SUM(R13:R15)&gt;=SUM(Q13:Q15),"",Q17-SUM(R13:R15))</f>
        <v>1488</v>
      </c>
    </row>
    <row r="17" spans="1:18" s="115" customFormat="1" ht="20.100000000000001" customHeight="1" thickBot="1" x14ac:dyDescent="0.3">
      <c r="A17" s="408"/>
      <c r="B17" s="139"/>
      <c r="C17" s="140"/>
      <c r="D17" s="141" t="s">
        <v>111</v>
      </c>
      <c r="E17" s="142">
        <f>IF(SUM(E13:E16)=0,"",SUM(E13:E16))</f>
        <v>5061.2000000000007</v>
      </c>
      <c r="F17" s="142">
        <f>IF(SUM(F13:F16)=0,"",SUM(F13:F16))</f>
        <v>5061.2000000000007</v>
      </c>
      <c r="H17" s="191" t="str">
        <f>'H-BF'!A23</f>
        <v>B4</v>
      </c>
      <c r="I17" s="192" t="str">
        <f>'H-BF'!B23</f>
        <v>09 06..</v>
      </c>
      <c r="J17" s="138" t="str">
        <f>'H-BF'!C23</f>
        <v>Kauf Kreiselzetter</v>
      </c>
      <c r="K17" s="193"/>
      <c r="L17" s="193">
        <f>'H-BF'!D23</f>
        <v>13032.2</v>
      </c>
      <c r="N17" s="139"/>
      <c r="O17" s="140"/>
      <c r="P17" s="141" t="s">
        <v>111</v>
      </c>
      <c r="Q17" s="142">
        <f>IF(SUM(Q13:Q16)=0,"",SUM(Q13:Q16))</f>
        <v>2529.6</v>
      </c>
      <c r="R17" s="142">
        <f>IF(SUM(R13:R16)=0,"",SUM(R13:R16))</f>
        <v>2529.6</v>
      </c>
    </row>
    <row r="18" spans="1:18" s="115" customFormat="1" ht="20.100000000000001" customHeight="1" thickTop="1" x14ac:dyDescent="0.25">
      <c r="A18" s="6"/>
      <c r="C18" s="143"/>
      <c r="D18" s="144"/>
      <c r="E18" s="145"/>
      <c r="F18" s="145"/>
      <c r="H18" s="191" t="str">
        <f>'H-BF'!A25</f>
        <v>B5</v>
      </c>
      <c r="I18" s="192" t="str">
        <f>'H-BF'!B25</f>
        <v>02.08.</v>
      </c>
      <c r="J18" s="138" t="str">
        <f>'H-BF'!C25</f>
        <v>Wohnhausumbau</v>
      </c>
      <c r="K18" s="193"/>
      <c r="L18" s="193">
        <f>'H-BF'!D25</f>
        <v>10792.5</v>
      </c>
      <c r="O18" s="143"/>
      <c r="P18" s="144"/>
      <c r="Q18" s="145"/>
      <c r="R18" s="145"/>
    </row>
    <row r="19" spans="1:18" s="115" customFormat="1" ht="20.100000000000001" customHeight="1" x14ac:dyDescent="0.25">
      <c r="A19" s="477"/>
      <c r="B19" s="534"/>
      <c r="C19" s="147"/>
      <c r="D19" s="148" t="str">
        <f>IF(F19="","",VLOOKUP(F19,KTOPL,2,0))</f>
        <v>Tiroler Schafzuchtverband (TSV)</v>
      </c>
      <c r="E19" s="149" t="s">
        <v>105</v>
      </c>
      <c r="F19" s="150" t="s">
        <v>181</v>
      </c>
      <c r="H19" s="191" t="str">
        <f>'H-BF'!A26</f>
        <v>B6</v>
      </c>
      <c r="I19" s="192" t="str">
        <f>'H-BF'!B26</f>
        <v>08.09.</v>
      </c>
      <c r="J19" s="138" t="str">
        <f>'H-BF'!C26</f>
        <v>Rückzahlung Darlehen</v>
      </c>
      <c r="K19" s="193"/>
      <c r="L19" s="193">
        <f>'H-BF'!D27+'H-BF'!D28</f>
        <v>1897.6999999999998</v>
      </c>
      <c r="N19" s="126"/>
      <c r="O19" s="127"/>
      <c r="P19" s="128" t="str">
        <f>IF(R19="","",VLOOKUP(R19,KTOPL,2,0))</f>
        <v>Bestand Vieh</v>
      </c>
      <c r="Q19" s="129" t="s">
        <v>105</v>
      </c>
      <c r="R19" s="130" t="s">
        <v>173</v>
      </c>
    </row>
    <row r="20" spans="1:18" s="115" customFormat="1" ht="20.100000000000001" customHeight="1" x14ac:dyDescent="0.25">
      <c r="A20" s="482" t="s">
        <v>106</v>
      </c>
      <c r="B20" s="151"/>
      <c r="C20" s="152" t="s">
        <v>107</v>
      </c>
      <c r="D20" s="151" t="s">
        <v>11</v>
      </c>
      <c r="E20" s="153" t="s">
        <v>108</v>
      </c>
      <c r="F20" s="153" t="s">
        <v>109</v>
      </c>
      <c r="H20" s="191"/>
      <c r="I20" s="192"/>
      <c r="J20" s="138"/>
      <c r="K20" s="193"/>
      <c r="L20" s="193"/>
      <c r="N20" s="134" t="s">
        <v>106</v>
      </c>
      <c r="O20" s="135" t="s">
        <v>107</v>
      </c>
      <c r="P20" s="134" t="s">
        <v>11</v>
      </c>
      <c r="Q20" s="136" t="s">
        <v>108</v>
      </c>
      <c r="R20" s="136" t="s">
        <v>109</v>
      </c>
    </row>
    <row r="21" spans="1:18" s="115" customFormat="1" ht="20.100000000000001" customHeight="1" x14ac:dyDescent="0.25">
      <c r="A21" s="536" t="str">
        <f>'H-BF'!A21</f>
        <v>A1</v>
      </c>
      <c r="B21" s="191"/>
      <c r="C21" s="192" t="str">
        <f>'H-BF'!B21</f>
        <v>21.03.</v>
      </c>
      <c r="D21" s="138" t="str">
        <f>'H-BF'!C21</f>
        <v>Zuchtschafverkauf</v>
      </c>
      <c r="E21" s="193">
        <f>'H-BF'!D21</f>
        <v>673.9</v>
      </c>
      <c r="F21" s="193"/>
      <c r="H21" s="191"/>
      <c r="I21" s="192"/>
      <c r="J21" s="138"/>
      <c r="K21" s="193"/>
      <c r="L21" s="193"/>
      <c r="N21" s="187" t="str">
        <f>'H-BF'!A7</f>
        <v>EB</v>
      </c>
      <c r="O21" s="188" t="str">
        <f>'H-BF'!B7</f>
        <v>01.01.</v>
      </c>
      <c r="P21" s="137" t="str">
        <f>'H-BF'!C7</f>
        <v>AB Schafe</v>
      </c>
      <c r="Q21" s="189">
        <f>'H-BF'!D7</f>
        <v>39445.9</v>
      </c>
      <c r="R21" s="190"/>
    </row>
    <row r="22" spans="1:18" s="115" customFormat="1" ht="20.100000000000001" customHeight="1" x14ac:dyDescent="0.25">
      <c r="A22" s="536" t="str">
        <f>'H-BF'!A22</f>
        <v>B3</v>
      </c>
      <c r="B22" s="191"/>
      <c r="C22" s="192" t="str">
        <f>'H-BF'!B22</f>
        <v>20.04.</v>
      </c>
      <c r="D22" s="138" t="str">
        <f>'H-BF'!C22</f>
        <v>TSV überweist Vesteigerungsentgelt</v>
      </c>
      <c r="E22" s="193"/>
      <c r="F22" s="193">
        <f>'H-BF'!D22</f>
        <v>673.9</v>
      </c>
      <c r="H22" s="191"/>
      <c r="I22" s="192"/>
      <c r="J22" s="138"/>
      <c r="K22" s="193"/>
      <c r="L22" s="193"/>
      <c r="N22" s="191" t="str">
        <f>'H-BF'!A40</f>
        <v>AB</v>
      </c>
      <c r="O22" s="192" t="str">
        <f>'H-BF'!B40</f>
        <v>31.12.</v>
      </c>
      <c r="P22" s="138" t="str">
        <f>'H-BF'!C40</f>
        <v>Mehrwert Schafe</v>
      </c>
      <c r="Q22" s="193">
        <f>'H-BF'!D40</f>
        <v>502.9</v>
      </c>
      <c r="R22" s="193"/>
    </row>
    <row r="23" spans="1:18" s="115" customFormat="1" ht="20.100000000000001" customHeight="1" x14ac:dyDescent="0.25">
      <c r="A23" s="536"/>
      <c r="B23" s="191"/>
      <c r="C23" s="192"/>
      <c r="D23" s="138"/>
      <c r="E23" s="193"/>
      <c r="F23" s="193"/>
      <c r="H23" s="191"/>
      <c r="I23" s="192"/>
      <c r="J23" s="138"/>
      <c r="K23" s="193"/>
      <c r="L23" s="193"/>
      <c r="N23" s="191"/>
      <c r="O23" s="192"/>
      <c r="P23" s="138"/>
      <c r="Q23" s="193"/>
      <c r="R23" s="193"/>
    </row>
    <row r="24" spans="1:18" s="115" customFormat="1" ht="20.100000000000001" customHeight="1" x14ac:dyDescent="0.25">
      <c r="A24" s="436" t="s">
        <v>66</v>
      </c>
      <c r="B24" s="194"/>
      <c r="C24" s="195" t="s">
        <v>67</v>
      </c>
      <c r="D24" s="194" t="s">
        <v>110</v>
      </c>
      <c r="E24" s="196" t="str">
        <f>IF(SUM(E21:E23)&gt;=SUM(F21:F23),"",F25-SUM(E21:E23))</f>
        <v/>
      </c>
      <c r="F24" s="196" t="str">
        <f>IF(SUM(F21:F23)&gt;=SUM(E21:E23),"",E25-SUM(F21:F23))</f>
        <v/>
      </c>
      <c r="H24" s="191" t="s">
        <v>66</v>
      </c>
      <c r="I24" s="192" t="s">
        <v>67</v>
      </c>
      <c r="J24" s="191" t="s">
        <v>110</v>
      </c>
      <c r="K24" s="193" t="str">
        <f>IF(SUM(K13:K23)&gt;=SUM(L13:L23),"",L25-SUM(K13:K23))</f>
        <v/>
      </c>
      <c r="L24" s="193">
        <f>IF(SUM(L13:L23)&gt;=SUM(K13:K23),"",K25-SUM(L13:L23))</f>
        <v>236.50000000000364</v>
      </c>
      <c r="N24" s="194" t="s">
        <v>66</v>
      </c>
      <c r="O24" s="195" t="s">
        <v>67</v>
      </c>
      <c r="P24" s="194" t="s">
        <v>110</v>
      </c>
      <c r="Q24" s="196" t="str">
        <f>IF(SUM(Q21:Q23)&gt;=SUM(R21:R23),"",R25-SUM(Q21:Q23))</f>
        <v/>
      </c>
      <c r="R24" s="196">
        <f>IF(SUM(R21:R23)&gt;=SUM(Q21:Q23),"",Q25-SUM(R21:R23))</f>
        <v>39948.800000000003</v>
      </c>
    </row>
    <row r="25" spans="1:18" s="115" customFormat="1" ht="20.100000000000001" customHeight="1" thickBot="1" x14ac:dyDescent="0.3">
      <c r="A25" s="408"/>
      <c r="B25" s="139"/>
      <c r="C25" s="140"/>
      <c r="D25" s="141" t="s">
        <v>111</v>
      </c>
      <c r="E25" s="142">
        <f>IF(SUM(E21:E24)=0,"",SUM(E21:E24))</f>
        <v>673.9</v>
      </c>
      <c r="F25" s="142">
        <f>IF(SUM(F21:F24)=0,"",SUM(F21:F24))</f>
        <v>673.9</v>
      </c>
      <c r="H25" s="139"/>
      <c r="I25" s="140"/>
      <c r="J25" s="141" t="s">
        <v>111</v>
      </c>
      <c r="K25" s="142">
        <f>IF(SUM(K13:K24)=0,"",SUM(K13:K24))</f>
        <v>31382.800000000003</v>
      </c>
      <c r="L25" s="142">
        <f>IF(SUM(L13:L24)=0,"",SUM(L13:L24))</f>
        <v>31382.800000000003</v>
      </c>
      <c r="N25" s="139"/>
      <c r="O25" s="140"/>
      <c r="P25" s="141" t="s">
        <v>111</v>
      </c>
      <c r="Q25" s="142">
        <f>IF(SUM(Q21:Q24)=0,"",SUM(Q21:Q24))</f>
        <v>39948.800000000003</v>
      </c>
      <c r="R25" s="142">
        <f>IF(SUM(R21:R24)=0,"",SUM(R21:R24))</f>
        <v>39948.800000000003</v>
      </c>
    </row>
    <row r="26" spans="1:18" s="115" customFormat="1" ht="20.100000000000001" customHeight="1" thickTop="1" x14ac:dyDescent="0.25">
      <c r="A26" s="6"/>
      <c r="C26" s="143"/>
      <c r="D26" s="144"/>
      <c r="E26" s="145"/>
      <c r="F26" s="145"/>
      <c r="I26" s="143"/>
      <c r="K26" s="145"/>
      <c r="L26" s="145"/>
      <c r="O26" s="143"/>
      <c r="P26" s="144"/>
      <c r="Q26" s="145"/>
      <c r="R26" s="145"/>
    </row>
    <row r="27" spans="1:18" s="115" customFormat="1" ht="20.100000000000001" customHeight="1" x14ac:dyDescent="0.25">
      <c r="A27" s="477"/>
      <c r="B27" s="534"/>
      <c r="C27" s="147"/>
      <c r="D27" s="148" t="str">
        <f>IF(F27="","",VLOOKUP(F27,KTOPL,2,0))</f>
        <v>Metzger Müller</v>
      </c>
      <c r="E27" s="149" t="s">
        <v>105</v>
      </c>
      <c r="F27" s="150" t="s">
        <v>177</v>
      </c>
      <c r="H27" s="154"/>
      <c r="I27" s="155"/>
      <c r="J27" s="156" t="str">
        <f>IF(L27="","",VLOOKUP(L27,KTOPL,2,0))</f>
        <v>Darlehen - betrieblich</v>
      </c>
      <c r="K27" s="157" t="s">
        <v>105</v>
      </c>
      <c r="L27" s="158" t="s">
        <v>179</v>
      </c>
      <c r="N27" s="154"/>
      <c r="O27" s="155"/>
      <c r="P27" s="156" t="str">
        <f>IF(R27="","",VLOOKUP(R27,KTOPL,2,0))</f>
        <v>Maschinenring Imst</v>
      </c>
      <c r="Q27" s="157" t="s">
        <v>105</v>
      </c>
      <c r="R27" s="158" t="s">
        <v>178</v>
      </c>
    </row>
    <row r="28" spans="1:18" s="115" customFormat="1" ht="20.100000000000001" customHeight="1" x14ac:dyDescent="0.25">
      <c r="A28" s="482" t="s">
        <v>106</v>
      </c>
      <c r="B28" s="151"/>
      <c r="C28" s="152" t="s">
        <v>107</v>
      </c>
      <c r="D28" s="151" t="s">
        <v>11</v>
      </c>
      <c r="E28" s="153" t="s">
        <v>108</v>
      </c>
      <c r="F28" s="153" t="s">
        <v>109</v>
      </c>
      <c r="H28" s="159" t="s">
        <v>106</v>
      </c>
      <c r="I28" s="160" t="s">
        <v>107</v>
      </c>
      <c r="J28" s="159" t="s">
        <v>11</v>
      </c>
      <c r="K28" s="161" t="s">
        <v>108</v>
      </c>
      <c r="L28" s="161" t="s">
        <v>109</v>
      </c>
      <c r="N28" s="159" t="s">
        <v>106</v>
      </c>
      <c r="O28" s="160" t="s">
        <v>107</v>
      </c>
      <c r="P28" s="159" t="s">
        <v>11</v>
      </c>
      <c r="Q28" s="161" t="s">
        <v>108</v>
      </c>
      <c r="R28" s="161" t="s">
        <v>109</v>
      </c>
    </row>
    <row r="29" spans="1:18" s="115" customFormat="1" ht="20.100000000000001" customHeight="1" x14ac:dyDescent="0.25">
      <c r="A29" s="535" t="str">
        <f>'H-BF'!A12</f>
        <v>EB</v>
      </c>
      <c r="B29" s="187"/>
      <c r="C29" s="188" t="str">
        <f>'H-BF'!B12</f>
        <v>01.01.</v>
      </c>
      <c r="D29" s="138" t="str">
        <f>'H-BF'!C12</f>
        <v>AB Forderungen
Metzger Müller</v>
      </c>
      <c r="E29" s="189">
        <f>'H-BF'!D12</f>
        <v>967.8</v>
      </c>
      <c r="F29" s="190"/>
      <c r="G29" s="358"/>
      <c r="H29" s="187" t="str">
        <f>'H-BF'!A14</f>
        <v>EB</v>
      </c>
      <c r="I29" s="188" t="str">
        <f>'H-BF'!B14</f>
        <v>01.01.</v>
      </c>
      <c r="J29" s="137" t="str">
        <f>'H-BF'!C14</f>
        <v>AB Darlehen</v>
      </c>
      <c r="K29" s="189"/>
      <c r="L29" s="190">
        <f>'H-BF'!D14</f>
        <v>9303.4</v>
      </c>
      <c r="M29" s="358"/>
      <c r="N29" s="187" t="str">
        <f>'H-BF'!A14</f>
        <v>EB</v>
      </c>
      <c r="O29" s="188" t="str">
        <f>'H-BF'!B14</f>
        <v>01.01.</v>
      </c>
      <c r="P29" s="137" t="str">
        <f>'H-BF'!C13</f>
        <v>AB Verbindlichkeiten Maschinenring Imst</v>
      </c>
      <c r="Q29" s="189"/>
      <c r="R29" s="190">
        <f>'H-BF'!D13</f>
        <v>4991.7</v>
      </c>
    </row>
    <row r="30" spans="1:18" s="115" customFormat="1" ht="20.100000000000001" customHeight="1" x14ac:dyDescent="0.25">
      <c r="A30" s="536" t="str">
        <f>'H-BF'!A18</f>
        <v>K1</v>
      </c>
      <c r="B30" s="191"/>
      <c r="C30" s="192" t="str">
        <f>'H-BF'!B18</f>
        <v>07.01.</v>
      </c>
      <c r="D30" s="138" t="str">
        <f>'H-BF'!C18</f>
        <v>Metzger Müller zahlt Rechnung aus Vorjahr</v>
      </c>
      <c r="E30" s="193"/>
      <c r="F30" s="193">
        <f>'H-BF'!D18</f>
        <v>967.8</v>
      </c>
      <c r="G30" s="358"/>
      <c r="H30" s="191" t="str">
        <f>'H-BF'!A27</f>
        <v>B6</v>
      </c>
      <c r="I30" s="192" t="str">
        <f>'H-BF'!B27</f>
        <v>08.09.</v>
      </c>
      <c r="J30" s="138" t="str">
        <f>'H-BF'!C27</f>
        <v xml:space="preserve">Darl.: Tilgung </v>
      </c>
      <c r="K30" s="193">
        <f>'H-BF'!D27</f>
        <v>1339.6</v>
      </c>
      <c r="L30" s="193"/>
      <c r="M30" s="358"/>
      <c r="N30" s="191" t="str">
        <f>'H-BF'!A19</f>
        <v>B1</v>
      </c>
      <c r="O30" s="192" t="str">
        <f>'H-BF'!B19</f>
        <v>10.01.</v>
      </c>
      <c r="P30" s="138" t="str">
        <f>'H-BF'!C19</f>
        <v>Zahlung MR-Rechnung Vorjahr</v>
      </c>
      <c r="Q30" s="193">
        <f>'H-BF'!D19</f>
        <v>4991.7</v>
      </c>
      <c r="R30" s="190"/>
    </row>
    <row r="31" spans="1:18" s="115" customFormat="1" ht="20.100000000000001" customHeight="1" x14ac:dyDescent="0.25">
      <c r="A31" s="536"/>
      <c r="B31" s="191"/>
      <c r="C31" s="192"/>
      <c r="D31" s="138"/>
      <c r="E31" s="193"/>
      <c r="F31" s="193"/>
      <c r="G31" s="358"/>
      <c r="H31" s="191"/>
      <c r="I31" s="192"/>
      <c r="J31" s="138"/>
      <c r="K31" s="193"/>
      <c r="L31" s="193"/>
      <c r="M31" s="358"/>
      <c r="N31" s="191"/>
      <c r="O31" s="192"/>
      <c r="P31" s="138"/>
      <c r="Q31" s="193"/>
      <c r="R31" s="193"/>
    </row>
    <row r="32" spans="1:18" s="115" customFormat="1" ht="20.100000000000001" customHeight="1" x14ac:dyDescent="0.25">
      <c r="A32" s="436" t="s">
        <v>66</v>
      </c>
      <c r="B32" s="194"/>
      <c r="C32" s="195" t="s">
        <v>67</v>
      </c>
      <c r="D32" s="194" t="s">
        <v>110</v>
      </c>
      <c r="E32" s="196" t="str">
        <f>IF(SUM(E29:E31)&gt;=SUM(F29:F31),"",F33-SUM(E29:E31))</f>
        <v/>
      </c>
      <c r="F32" s="196" t="str">
        <f>IF(SUM(F29:F31)&gt;=SUM(E29:E31),"",E33-SUM(F29:F31))</f>
        <v/>
      </c>
      <c r="G32" s="358"/>
      <c r="H32" s="194" t="s">
        <v>66</v>
      </c>
      <c r="I32" s="195" t="s">
        <v>67</v>
      </c>
      <c r="J32" s="194" t="s">
        <v>110</v>
      </c>
      <c r="K32" s="196">
        <f>IF(SUM(K29:K31)&gt;=SUM(L29:L31),"",L33-SUM(K29:K31))</f>
        <v>7963.7999999999993</v>
      </c>
      <c r="L32" s="196" t="str">
        <f>IF(SUM(L29:L31)&gt;=SUM(K29:K31),"",K33-SUM(L29:L31))</f>
        <v/>
      </c>
      <c r="M32" s="358"/>
      <c r="N32" s="194" t="s">
        <v>66</v>
      </c>
      <c r="O32" s="195" t="s">
        <v>67</v>
      </c>
      <c r="P32" s="194" t="s">
        <v>110</v>
      </c>
      <c r="Q32" s="196" t="str">
        <f>IF(SUM(Q29:Q31)&gt;=SUM(R29:R31),"",R33-SUM(Q29:Q31))</f>
        <v/>
      </c>
      <c r="R32" s="196" t="str">
        <f>IF(SUM(R29:R31)&gt;=SUM(Q29:Q31),"",Q33-SUM(R29:R31))</f>
        <v/>
      </c>
    </row>
    <row r="33" spans="1:18" s="115" customFormat="1" ht="20.100000000000001" customHeight="1" thickBot="1" x14ac:dyDescent="0.3">
      <c r="A33" s="408"/>
      <c r="B33" s="139"/>
      <c r="C33" s="140"/>
      <c r="D33" s="141" t="s">
        <v>111</v>
      </c>
      <c r="E33" s="142">
        <f>IF(SUM(E29:E32)=0,"",SUM(E29:E32))</f>
        <v>967.8</v>
      </c>
      <c r="F33" s="142">
        <f>IF(SUM(F29:F32)=0,"",SUM(F29:F32))</f>
        <v>967.8</v>
      </c>
      <c r="H33" s="139"/>
      <c r="I33" s="140"/>
      <c r="J33" s="141" t="s">
        <v>111</v>
      </c>
      <c r="K33" s="142">
        <f>IF(SUM(K29:K32)=0,"",SUM(K29:K32))</f>
        <v>9303.4</v>
      </c>
      <c r="L33" s="142">
        <f>IF(SUM(L29:L32)=0,"",SUM(L29:L32))</f>
        <v>9303.4</v>
      </c>
      <c r="N33" s="139"/>
      <c r="O33" s="140"/>
      <c r="P33" s="141" t="s">
        <v>111</v>
      </c>
      <c r="Q33" s="142">
        <f>IF(SUM(Q29:Q32)=0,"",SUM(Q29:Q32))</f>
        <v>4991.7</v>
      </c>
      <c r="R33" s="142">
        <f>IF(SUM(R29:R32)=0,"",SUM(R29:R32))</f>
        <v>4991.7</v>
      </c>
    </row>
    <row r="34" spans="1:18" s="115" customFormat="1" ht="12.75" customHeight="1" thickTop="1" x14ac:dyDescent="0.25">
      <c r="A34" s="6"/>
      <c r="C34" s="143"/>
      <c r="D34" s="144"/>
      <c r="E34" s="145"/>
      <c r="F34" s="145"/>
      <c r="I34" s="143"/>
      <c r="K34" s="145"/>
      <c r="L34" s="145"/>
      <c r="O34" s="143"/>
      <c r="P34" s="144"/>
      <c r="Q34" s="145"/>
      <c r="R34" s="145"/>
    </row>
    <row r="35" spans="1:18" s="115" customFormat="1" ht="12.75" hidden="1" customHeight="1" x14ac:dyDescent="0.25">
      <c r="A35" s="6"/>
      <c r="C35" s="143"/>
      <c r="D35" s="144"/>
      <c r="E35" s="145"/>
      <c r="F35" s="145"/>
      <c r="I35" s="143"/>
      <c r="K35" s="145"/>
      <c r="L35" s="145"/>
      <c r="O35" s="143"/>
      <c r="P35" s="144"/>
      <c r="Q35" s="145"/>
      <c r="R35" s="145"/>
    </row>
    <row r="36" spans="1:18" s="115" customFormat="1" ht="12.75" hidden="1" customHeight="1" x14ac:dyDescent="0.25">
      <c r="A36" s="6"/>
      <c r="C36" s="143"/>
      <c r="D36" s="144"/>
      <c r="E36" s="145"/>
      <c r="F36" s="145"/>
      <c r="I36" s="143"/>
      <c r="K36" s="145"/>
      <c r="L36" s="145"/>
      <c r="O36" s="143"/>
      <c r="P36" s="144"/>
      <c r="Q36" s="145"/>
      <c r="R36" s="145"/>
    </row>
    <row r="37" spans="1:18" s="115" customFormat="1" ht="12.75" hidden="1" customHeight="1" x14ac:dyDescent="0.25">
      <c r="A37" s="6"/>
      <c r="C37" s="143"/>
      <c r="D37" s="144"/>
      <c r="E37" s="145"/>
      <c r="F37" s="145"/>
      <c r="I37" s="143"/>
      <c r="K37" s="145"/>
      <c r="L37" s="145"/>
      <c r="O37" s="143"/>
      <c r="P37" s="144"/>
      <c r="Q37" s="145"/>
      <c r="R37" s="145"/>
    </row>
    <row r="38" spans="1:18" s="115" customFormat="1" ht="12.75" hidden="1" customHeight="1" x14ac:dyDescent="0.25">
      <c r="A38" s="6"/>
      <c r="C38" s="143"/>
      <c r="D38" s="144"/>
      <c r="E38" s="145"/>
      <c r="F38" s="145"/>
      <c r="I38" s="143"/>
      <c r="K38" s="145"/>
      <c r="L38" s="145"/>
      <c r="O38" s="143"/>
      <c r="P38" s="144"/>
      <c r="Q38" s="145"/>
      <c r="R38" s="145"/>
    </row>
    <row r="39" spans="1:18" s="115" customFormat="1" ht="12.75" hidden="1" customHeight="1" x14ac:dyDescent="0.25">
      <c r="A39" s="6"/>
      <c r="C39" s="143"/>
      <c r="D39" s="144"/>
      <c r="E39" s="145"/>
      <c r="F39" s="145"/>
      <c r="I39" s="143"/>
      <c r="K39" s="145"/>
      <c r="L39" s="145"/>
      <c r="O39" s="143"/>
      <c r="P39" s="144"/>
      <c r="Q39" s="145"/>
      <c r="R39" s="145"/>
    </row>
    <row r="40" spans="1:18" s="115" customFormat="1" ht="12.75" hidden="1" customHeight="1" thickBot="1" x14ac:dyDescent="0.3">
      <c r="A40" s="414" t="s">
        <v>115</v>
      </c>
      <c r="B40" s="162"/>
      <c r="C40" s="163"/>
      <c r="D40" s="164"/>
      <c r="E40" s="165"/>
      <c r="F40" s="165"/>
      <c r="G40" s="163"/>
      <c r="H40" s="163"/>
      <c r="I40" s="166"/>
      <c r="J40" s="163"/>
      <c r="K40" s="163"/>
      <c r="L40" s="145"/>
      <c r="O40" s="143"/>
      <c r="P40" s="144"/>
      <c r="Q40" s="145"/>
      <c r="R40" s="145"/>
    </row>
    <row r="41" spans="1:18" s="115" customFormat="1" ht="12.75" hidden="1" customHeight="1" x14ac:dyDescent="0.25">
      <c r="A41" s="37">
        <v>1</v>
      </c>
      <c r="B41" s="167"/>
      <c r="C41" s="46" t="str">
        <f>IF(D41="","",MID(D41,1,FIND(": ",D41,1)-1)&amp;K41)</f>
        <v xml:space="preserve"> 04000AB Ma</v>
      </c>
      <c r="D41" s="46" t="str">
        <f>IF(OR($F$3="",AND(E5="",F5="")),"",CONCATENATE($F$3,": ",IF(D5="","",D5&amp;", "),IF(E5="","xxxx",TEXT(E5,"# ##0,-")),", ",IF(F5="","xxxx",TEXT(F5,"# ##0,-"))))</f>
        <v xml:space="preserve"> 04000: AB Maschinen, 91 917,-, xxxx</v>
      </c>
      <c r="E41" s="168"/>
      <c r="F41" s="168"/>
      <c r="G41" s="46"/>
      <c r="H41" s="46"/>
      <c r="I41" s="169"/>
      <c r="J41" s="46"/>
      <c r="K41" s="46" t="str">
        <f>IF(D5="","",MID(D5,1,5))</f>
        <v>AB Ma</v>
      </c>
      <c r="L41" s="145"/>
      <c r="O41" s="143"/>
      <c r="P41" s="144"/>
      <c r="Q41" s="145"/>
      <c r="R41" s="145"/>
    </row>
    <row r="42" spans="1:18" s="115" customFormat="1" ht="12.75" hidden="1" customHeight="1" x14ac:dyDescent="0.25">
      <c r="A42" s="42">
        <v>2</v>
      </c>
      <c r="B42" s="167"/>
      <c r="C42" s="46" t="str">
        <f t="shared" ref="C42:C103" si="0">IF(D42="","",MID(D42,1,FIND(": ",D42,1)-1)&amp;K42)</f>
        <v xml:space="preserve"> 04000Kauf </v>
      </c>
      <c r="D42" s="46" t="str">
        <f t="shared" ref="D42:D45" si="1">IF(OR($F$3="",AND(E6="",F6="")),"",CONCATENATE($F$3,": ",IF(D6="","",D6&amp;", "),IF(E6="","xxxx",TEXT(E6,"# ##0,-")),", ",IF(F6="","xxxx",TEXT(F6,"# ##0,-"))))</f>
        <v xml:space="preserve"> 04000: Kauf Kreiselzetter, 13 032,-, xxxx</v>
      </c>
      <c r="E42" s="171"/>
      <c r="F42" s="171"/>
      <c r="G42" s="47"/>
      <c r="H42" s="47"/>
      <c r="I42" s="172"/>
      <c r="J42" s="47"/>
      <c r="K42" s="46" t="str">
        <f t="shared" ref="K42:K45" si="2">IF(D6="","",MID(D6,1,5))</f>
        <v xml:space="preserve">Kauf </v>
      </c>
      <c r="L42" s="145"/>
      <c r="O42" s="143"/>
      <c r="P42" s="144"/>
      <c r="Q42" s="145"/>
      <c r="R42" s="145"/>
    </row>
    <row r="43" spans="1:18" s="115" customFormat="1" ht="12.75" hidden="1" customHeight="1" x14ac:dyDescent="0.25">
      <c r="A43" s="42">
        <v>3</v>
      </c>
      <c r="B43" s="167"/>
      <c r="C43" s="46" t="str">
        <f t="shared" si="0"/>
        <v xml:space="preserve"> 04000Afa M</v>
      </c>
      <c r="D43" s="46" t="str">
        <f t="shared" si="1"/>
        <v xml:space="preserve"> 04000: Afa Maschinen, xxxx, 3 424,-</v>
      </c>
      <c r="E43" s="171"/>
      <c r="F43" s="171"/>
      <c r="G43" s="47"/>
      <c r="H43" s="47"/>
      <c r="I43" s="172"/>
      <c r="J43" s="47"/>
      <c r="K43" s="46" t="str">
        <f t="shared" si="2"/>
        <v>Afa M</v>
      </c>
      <c r="L43" s="145"/>
      <c r="O43" s="143"/>
      <c r="P43" s="144"/>
      <c r="Q43" s="145"/>
      <c r="R43" s="145"/>
    </row>
    <row r="44" spans="1:18" s="115" customFormat="1" ht="12.75" hidden="1" customHeight="1" x14ac:dyDescent="0.25">
      <c r="A44" s="42">
        <v>4</v>
      </c>
      <c r="B44" s="167"/>
      <c r="C44" s="46" t="str">
        <f t="shared" si="0"/>
        <v xml:space="preserve"> 04000SALDO</v>
      </c>
      <c r="D44" s="46" t="str">
        <f t="shared" si="1"/>
        <v xml:space="preserve"> 04000: SALDO, xxxx, 101 525,-</v>
      </c>
      <c r="E44" s="171"/>
      <c r="F44" s="171"/>
      <c r="G44" s="47"/>
      <c r="H44" s="47"/>
      <c r="I44" s="172"/>
      <c r="J44" s="47"/>
      <c r="K44" s="46" t="str">
        <f t="shared" si="2"/>
        <v>SALDO</v>
      </c>
      <c r="L44" s="145"/>
      <c r="O44" s="143"/>
      <c r="P44" s="144"/>
      <c r="Q44" s="145"/>
      <c r="R44" s="145"/>
    </row>
    <row r="45" spans="1:18" s="115" customFormat="1" ht="12.75" hidden="1" customHeight="1" x14ac:dyDescent="0.25">
      <c r="A45" s="42">
        <v>5</v>
      </c>
      <c r="B45" s="167"/>
      <c r="C45" s="46" t="str">
        <f t="shared" si="0"/>
        <v xml:space="preserve"> 04000Summe</v>
      </c>
      <c r="D45" s="46" t="str">
        <f t="shared" si="1"/>
        <v xml:space="preserve"> 04000: Summe, 104 949,-, 104 949,-</v>
      </c>
      <c r="E45" s="171"/>
      <c r="F45" s="171"/>
      <c r="G45" s="47"/>
      <c r="H45" s="47"/>
      <c r="I45" s="172"/>
      <c r="J45" s="47"/>
      <c r="K45" s="46" t="str">
        <f t="shared" si="2"/>
        <v>Summe</v>
      </c>
      <c r="L45" s="145"/>
      <c r="O45" s="143"/>
      <c r="P45" s="144"/>
      <c r="Q45" s="145"/>
      <c r="R45" s="145"/>
    </row>
    <row r="46" spans="1:18" s="115" customFormat="1" ht="12.75" hidden="1" customHeight="1" x14ac:dyDescent="0.25">
      <c r="A46" s="42">
        <v>6</v>
      </c>
      <c r="B46" s="167"/>
      <c r="C46" s="46" t="str">
        <f t="shared" si="0"/>
        <v xml:space="preserve"> 03000AB Ge</v>
      </c>
      <c r="D46" s="47" t="str">
        <f>IF(OR($L$3="",AND(K5="",L5="")),"",CONCATENATE($L$3,": ",IF(J5="","",J5&amp;", "),IF(K5="","xxxx",TEXT(K5,"# ##0,-")),", ",IF(L5="","xxxx",TEXT(L5,"# ##0,-"))))</f>
        <v xml:space="preserve"> 03000: AB Gebäude, 55 448,-, xxxx</v>
      </c>
      <c r="E46" s="171"/>
      <c r="F46" s="171"/>
      <c r="G46" s="47"/>
      <c r="H46" s="47"/>
      <c r="I46" s="172"/>
      <c r="J46" s="47"/>
      <c r="K46" s="46" t="str">
        <f>IF(J5="","",MID(J5,1,5))</f>
        <v>AB Ge</v>
      </c>
      <c r="L46" s="145"/>
      <c r="O46" s="143"/>
      <c r="P46" s="144"/>
      <c r="Q46" s="145"/>
      <c r="R46" s="145"/>
    </row>
    <row r="47" spans="1:18" s="115" customFormat="1" ht="12.75" hidden="1" customHeight="1" x14ac:dyDescent="0.25">
      <c r="A47" s="42">
        <v>7</v>
      </c>
      <c r="B47" s="167"/>
      <c r="C47" s="46" t="str">
        <f t="shared" si="0"/>
        <v xml:space="preserve"> 03000Afa G</v>
      </c>
      <c r="D47" s="47" t="str">
        <f t="shared" ref="D47:D50" si="3">IF(OR($L$3="",AND(K6="",L6="")),"",CONCATENATE($L$3,": ",IF(J6="","",J6&amp;", "),IF(K6="","xxxx",TEXT(K6,"# ##0,-")),", ",IF(L6="","xxxx",TEXT(L6,"# ##0,-"))))</f>
        <v xml:space="preserve"> 03000: Afa Gebäude, xxxx, 4 269,-</v>
      </c>
      <c r="E47" s="171"/>
      <c r="F47" s="171"/>
      <c r="G47" s="47"/>
      <c r="H47" s="47"/>
      <c r="I47" s="172"/>
      <c r="J47" s="47"/>
      <c r="K47" s="46" t="str">
        <f t="shared" ref="K47:K50" si="4">IF(J6="","",MID(J6,1,5))</f>
        <v>Afa G</v>
      </c>
      <c r="L47" s="145"/>
      <c r="O47" s="143"/>
      <c r="P47" s="144"/>
      <c r="Q47" s="145"/>
      <c r="R47" s="145"/>
    </row>
    <row r="48" spans="1:18" s="115" customFormat="1" ht="12.75" hidden="1" customHeight="1" x14ac:dyDescent="0.25">
      <c r="A48" s="42">
        <v>8</v>
      </c>
      <c r="B48" s="167"/>
      <c r="C48" s="46" t="str">
        <f t="shared" si="0"/>
        <v/>
      </c>
      <c r="D48" s="47" t="str">
        <f t="shared" si="3"/>
        <v/>
      </c>
      <c r="E48" s="171"/>
      <c r="F48" s="171"/>
      <c r="G48" s="47"/>
      <c r="H48" s="47"/>
      <c r="I48" s="172"/>
      <c r="J48" s="47"/>
      <c r="K48" s="46" t="str">
        <f t="shared" si="4"/>
        <v/>
      </c>
      <c r="L48" s="145"/>
      <c r="O48" s="143"/>
      <c r="P48" s="144"/>
      <c r="Q48" s="145"/>
      <c r="R48" s="145"/>
    </row>
    <row r="49" spans="1:18" s="115" customFormat="1" ht="12.75" hidden="1" customHeight="1" x14ac:dyDescent="0.25">
      <c r="A49" s="42">
        <v>9</v>
      </c>
      <c r="B49" s="167"/>
      <c r="C49" s="46" t="str">
        <f t="shared" si="0"/>
        <v xml:space="preserve"> 03000SALDO</v>
      </c>
      <c r="D49" s="47" t="str">
        <f t="shared" si="3"/>
        <v xml:space="preserve"> 03000: SALDO, xxxx, 51 180,-</v>
      </c>
      <c r="E49" s="171"/>
      <c r="F49" s="171"/>
      <c r="G49" s="47"/>
      <c r="H49" s="47"/>
      <c r="I49" s="172"/>
      <c r="J49" s="47"/>
      <c r="K49" s="46" t="str">
        <f t="shared" si="4"/>
        <v>SALDO</v>
      </c>
      <c r="L49" s="145"/>
      <c r="O49" s="143"/>
      <c r="P49" s="144"/>
      <c r="Q49" s="145"/>
      <c r="R49" s="145"/>
    </row>
    <row r="50" spans="1:18" s="115" customFormat="1" ht="12.75" hidden="1" customHeight="1" x14ac:dyDescent="0.25">
      <c r="A50" s="42">
        <v>10</v>
      </c>
      <c r="B50" s="167"/>
      <c r="C50" s="46" t="str">
        <f t="shared" si="0"/>
        <v xml:space="preserve"> 03000Summe</v>
      </c>
      <c r="D50" s="47" t="str">
        <f t="shared" si="3"/>
        <v xml:space="preserve"> 03000: Summe, 55 448,-, 55 448,-</v>
      </c>
      <c r="E50" s="171"/>
      <c r="F50" s="171"/>
      <c r="G50" s="47"/>
      <c r="H50" s="47"/>
      <c r="I50" s="172"/>
      <c r="J50" s="47"/>
      <c r="K50" s="46" t="str">
        <f t="shared" si="4"/>
        <v>Summe</v>
      </c>
      <c r="L50" s="145"/>
      <c r="O50" s="143"/>
      <c r="P50" s="144"/>
      <c r="Q50" s="145"/>
      <c r="R50" s="145"/>
    </row>
    <row r="51" spans="1:18" s="115" customFormat="1" ht="12.75" hidden="1" customHeight="1" x14ac:dyDescent="0.25">
      <c r="A51" s="42">
        <v>11</v>
      </c>
      <c r="B51" s="167"/>
      <c r="C51" s="46" t="str">
        <f t="shared" si="0"/>
        <v xml:space="preserve"> 11050AB Vo</v>
      </c>
      <c r="D51" s="47" t="str">
        <f>IF(OR($R$3="",AND(Q5="",R5="")),"",CONCATENATE($R$3,": ",IF(N5="","",N5&amp;", "),IF(O5="","",O5&amp;", "),IF(P5="","",P5&amp;", "),IF(Q5="","xxxx",TEXT(Q5,"# ##0,-")),", ",IF(R5="","xxxx",TEXT(R5,"# ##0,-"))))</f>
        <v xml:space="preserve"> 11050: EB, 01.01., AB Vorräte zugekaufte, 3 349,-, xxxx</v>
      </c>
      <c r="E51" s="171"/>
      <c r="F51" s="171"/>
      <c r="G51" s="47"/>
      <c r="H51" s="47"/>
      <c r="I51" s="172"/>
      <c r="J51" s="47"/>
      <c r="K51" s="46" t="str">
        <f>IF(P5="","",MID(P5,1,5))</f>
        <v>AB Vo</v>
      </c>
      <c r="L51" s="145"/>
      <c r="O51" s="143"/>
      <c r="P51" s="144"/>
      <c r="Q51" s="145"/>
      <c r="R51" s="145"/>
    </row>
    <row r="52" spans="1:18" s="115" customFormat="1" ht="12.75" hidden="1" customHeight="1" x14ac:dyDescent="0.25">
      <c r="A52" s="42">
        <v>12</v>
      </c>
      <c r="B52" s="167"/>
      <c r="C52" s="46" t="str">
        <f t="shared" si="0"/>
        <v xml:space="preserve"> 11050Mehrw</v>
      </c>
      <c r="D52" s="47" t="str">
        <f>IF(OR($R$3="",AND(Q6="",R6="")),"",CONCATENATE($R$3,": ",IF(N6="","",N6&amp;", "),IF(O6="","",O6&amp;", "),IF(P6="","",P6&amp;", "),IF(Q6="","xxxx",TEXT(Q6,"# ##0,-")),", ",IF(R6="","xxxx",TEXT(R6,"# ##0,-"))))</f>
        <v xml:space="preserve"> 11050: AB, 31.12., Mehrwert zk. Vorr. (Treibstoff), 260,-, xxxx</v>
      </c>
      <c r="E52" s="171"/>
      <c r="F52" s="171"/>
      <c r="G52" s="47"/>
      <c r="H52" s="47"/>
      <c r="I52" s="172"/>
      <c r="J52" s="47"/>
      <c r="K52" s="46" t="str">
        <f t="shared" ref="K52:K55" si="5">IF(P6="","",MID(P6,1,5))</f>
        <v>Mehrw</v>
      </c>
      <c r="L52" s="145"/>
      <c r="O52" s="143"/>
      <c r="P52" s="144"/>
      <c r="Q52" s="145"/>
      <c r="R52" s="145"/>
    </row>
    <row r="53" spans="1:18" s="115" customFormat="1" ht="12.75" hidden="1" customHeight="1" x14ac:dyDescent="0.25">
      <c r="A53" s="42">
        <v>13</v>
      </c>
      <c r="B53" s="167"/>
      <c r="C53" s="46" t="str">
        <f t="shared" si="0"/>
        <v/>
      </c>
      <c r="D53" s="47" t="str">
        <f>IF(OR($R$3="",AND(Q7="",R7="")),"",CONCATENATE($R$3,": ",IF(N7="","",N7&amp;", "),IF(O7="","",O7&amp;", "),IF(P7="","",P7&amp;", "),IF(Q7="","xxxx",TEXT(Q7,"# ##0,-")),", ",IF(R7="","xxxx",TEXT(R7,"# ##0,-"))))</f>
        <v/>
      </c>
      <c r="E53" s="171"/>
      <c r="F53" s="171"/>
      <c r="G53" s="47"/>
      <c r="H53" s="47"/>
      <c r="I53" s="172"/>
      <c r="J53" s="47"/>
      <c r="K53" s="46" t="str">
        <f t="shared" si="5"/>
        <v/>
      </c>
      <c r="L53" s="145"/>
      <c r="O53" s="143"/>
      <c r="P53" s="144"/>
      <c r="Q53" s="145"/>
      <c r="R53" s="145"/>
    </row>
    <row r="54" spans="1:18" s="115" customFormat="1" ht="12.75" hidden="1" customHeight="1" x14ac:dyDescent="0.25">
      <c r="A54" s="42">
        <v>14</v>
      </c>
      <c r="B54" s="167"/>
      <c r="C54" s="46" t="str">
        <f t="shared" si="0"/>
        <v xml:space="preserve"> 11050SALDO</v>
      </c>
      <c r="D54" s="47" t="str">
        <f>IF(OR($R$3="",AND(Q8="",R8="")),"",CONCATENATE($R$3,": ",IF(N8="","",N8&amp;", "),IF(O8="","",O8&amp;", "),IF(P8="","",P8&amp;", "),IF(Q8="","xxxx",TEXT(Q8,"# ##0,-")),", ",IF(R8="","xxxx",TEXT(R8,"# ##0,-"))))</f>
        <v xml:space="preserve"> 11050: AB, 31.12., SALDO, xxxx, 3 609,-</v>
      </c>
      <c r="E54" s="171"/>
      <c r="F54" s="171"/>
      <c r="G54" s="47"/>
      <c r="H54" s="47"/>
      <c r="I54" s="172"/>
      <c r="J54" s="47"/>
      <c r="K54" s="46" t="str">
        <f t="shared" si="5"/>
        <v>SALDO</v>
      </c>
      <c r="L54" s="145"/>
      <c r="O54" s="143"/>
      <c r="P54" s="144"/>
      <c r="Q54" s="145"/>
      <c r="R54" s="145"/>
    </row>
    <row r="55" spans="1:18" s="115" customFormat="1" ht="12.75" hidden="1" customHeight="1" x14ac:dyDescent="0.25">
      <c r="A55" s="42">
        <v>15</v>
      </c>
      <c r="B55" s="167"/>
      <c r="C55" s="46" t="str">
        <f t="shared" si="0"/>
        <v xml:space="preserve"> 11050Summe</v>
      </c>
      <c r="D55" s="47" t="str">
        <f>IF(OR($R$3="",AND(Q9="",R9="")),"",CONCATENATE($R$3,": ",IF(N9="","",N9&amp;", "),IF(O9="","",O9&amp;", "),IF(P9="","",P9&amp;", "),IF(Q9="","xxxx",TEXT(Q9,"# ##0,-")),", ",IF(R9="","xxxx",TEXT(R9,"# ##0,-"))))</f>
        <v xml:space="preserve"> 11050: Summe, 3 609,-, 3 609,-</v>
      </c>
      <c r="E55" s="171"/>
      <c r="F55" s="171"/>
      <c r="G55" s="47"/>
      <c r="H55" s="47"/>
      <c r="I55" s="172"/>
      <c r="J55" s="47"/>
      <c r="K55" s="46" t="str">
        <f t="shared" si="5"/>
        <v>Summe</v>
      </c>
      <c r="L55" s="145"/>
      <c r="O55" s="143"/>
      <c r="P55" s="144"/>
      <c r="Q55" s="145"/>
      <c r="R55" s="145"/>
    </row>
    <row r="56" spans="1:18" s="115" customFormat="1" ht="12.75" hidden="1" customHeight="1" x14ac:dyDescent="0.25">
      <c r="A56" s="42">
        <v>16</v>
      </c>
      <c r="B56" s="167"/>
      <c r="C56" s="46" t="str">
        <f t="shared" si="0"/>
        <v xml:space="preserve"> 27000AB Ka</v>
      </c>
      <c r="D56" s="47" t="str">
        <f>IF(OR($F$11="",AND(E13="",F13="")),"",CONCATENATE($F$11,": ",IF(A13="","",A13&amp;", "),IF(C13="","",C13&amp;", "),IF(D13="","",D13&amp;", "),IF(E13="","xxxx",TEXT(E13,"# ##0,-")),", ",IF(F13="","xxxx",TEXT(F13,"# ##0,-"))))</f>
        <v xml:space="preserve"> 27000: EB, 01.01., AB Kassa (Bargeld), 558,-, xxxx</v>
      </c>
      <c r="E56" s="171"/>
      <c r="F56" s="171"/>
      <c r="G56" s="47"/>
      <c r="H56" s="47"/>
      <c r="I56" s="172"/>
      <c r="J56" s="47"/>
      <c r="K56" s="46" t="str">
        <f>IF(D13="","",MID(D13,1,5))</f>
        <v>AB Ka</v>
      </c>
      <c r="L56" s="145"/>
      <c r="O56" s="143"/>
      <c r="P56" s="144"/>
      <c r="Q56" s="145"/>
      <c r="R56" s="145"/>
    </row>
    <row r="57" spans="1:18" s="115" customFormat="1" ht="12.75" hidden="1" customHeight="1" x14ac:dyDescent="0.25">
      <c r="A57" s="42">
        <v>17</v>
      </c>
      <c r="B57" s="167"/>
      <c r="C57" s="46" t="str">
        <f t="shared" si="0"/>
        <v xml:space="preserve"> 27000Metzg</v>
      </c>
      <c r="D57" s="47" t="str">
        <f>IF(OR($F$11="",AND(E14="",F14="")),"",CONCATENATE($F$11,": ",IF(A14="","",A14&amp;", "),IF(C14="","",C14&amp;", "),IF(D14="","",D14&amp;", "),IF(E14="","xxxx",TEXT(E14,"# ##0,-")),", ",IF(F14="","xxxx",TEXT(F14,"# ##0,-"))))</f>
        <v xml:space="preserve"> 27000: K1, 07.01., Metzger Müller zahlt Rechnung aus Vorjahr, 968,-, xxxx</v>
      </c>
      <c r="E57" s="171"/>
      <c r="F57" s="171"/>
      <c r="G57" s="47"/>
      <c r="H57" s="47"/>
      <c r="I57" s="172"/>
      <c r="J57" s="47"/>
      <c r="K57" s="46" t="str">
        <f t="shared" ref="K57:K60" si="6">IF(D14="","",MID(D14,1,5))</f>
        <v>Metzg</v>
      </c>
      <c r="L57" s="145"/>
      <c r="O57" s="143"/>
      <c r="P57" s="144"/>
      <c r="Q57" s="145"/>
      <c r="R57" s="145"/>
    </row>
    <row r="58" spans="1:18" s="115" customFormat="1" ht="12.75" hidden="1" customHeight="1" x14ac:dyDescent="0.25">
      <c r="A58" s="42">
        <v>18</v>
      </c>
      <c r="B58" s="167"/>
      <c r="C58" s="46" t="str">
        <f t="shared" si="0"/>
        <v xml:space="preserve"> 27000Milch</v>
      </c>
      <c r="D58" s="47" t="str">
        <f>IF(OR($F$11="",AND(E15="",F15="")),"",CONCATENATE($F$11,": ",IF(A15="","",A15&amp;", "),IF(C15="","",C15&amp;", "),IF(D15="","",D15&amp;", "),IF(E15="","xxxx",TEXT(E15,"# ##0,-")),", ",IF(F15="","xxxx",TEXT(F15,"# ##0,-"))))</f>
        <v xml:space="preserve"> 27000: K2, 14.07., Milchgeld (Schafmilch, Sammelbeleg), 3 535,-, xxxx</v>
      </c>
      <c r="E58" s="171"/>
      <c r="F58" s="171"/>
      <c r="G58" s="47"/>
      <c r="H58" s="47"/>
      <c r="I58" s="172"/>
      <c r="J58" s="47"/>
      <c r="K58" s="46" t="str">
        <f t="shared" si="6"/>
        <v>Milch</v>
      </c>
      <c r="L58" s="145"/>
      <c r="O58" s="143"/>
      <c r="P58" s="144"/>
      <c r="Q58" s="145"/>
      <c r="R58" s="145"/>
    </row>
    <row r="59" spans="1:18" s="115" customFormat="1" ht="12.75" hidden="1" customHeight="1" x14ac:dyDescent="0.25">
      <c r="A59" s="42">
        <v>19</v>
      </c>
      <c r="B59" s="167"/>
      <c r="C59" s="46" t="str">
        <f t="shared" si="0"/>
        <v xml:space="preserve"> 27000SALDO</v>
      </c>
      <c r="D59" s="47" t="str">
        <f>IF(OR($F$11="",AND(E16="",F16="")),"",CONCATENATE($F$11,": ",IF(A16="","",A16&amp;", "),IF(C16="","",C16&amp;", "),IF(D16="","",D16&amp;", "),IF(E16="","xxxx",TEXT(E16,"# ##0,-")),", ",IF(F16="","xxxx",TEXT(F16,"# ##0,-"))))</f>
        <v xml:space="preserve"> 27000: AB, 31.12., SALDO, xxxx, 5 061,-</v>
      </c>
      <c r="E59" s="171"/>
      <c r="F59" s="171"/>
      <c r="G59" s="47"/>
      <c r="H59" s="47"/>
      <c r="I59" s="172"/>
      <c r="J59" s="47"/>
      <c r="K59" s="46" t="str">
        <f t="shared" si="6"/>
        <v>SALDO</v>
      </c>
      <c r="L59" s="145"/>
      <c r="O59" s="143"/>
      <c r="P59" s="144"/>
      <c r="Q59" s="145"/>
      <c r="R59" s="145"/>
    </row>
    <row r="60" spans="1:18" s="115" customFormat="1" ht="12.75" hidden="1" customHeight="1" x14ac:dyDescent="0.25">
      <c r="A60" s="42">
        <v>20</v>
      </c>
      <c r="B60" s="167"/>
      <c r="C60" s="46" t="str">
        <f t="shared" si="0"/>
        <v xml:space="preserve"> 27000Summe</v>
      </c>
      <c r="D60" s="47" t="str">
        <f>IF(OR($F$11="",AND(E17="",F17="")),"",CONCATENATE($F$11,": ",IF(A17="","",A17&amp;", "),IF(C17="","",C17&amp;", "),IF(D17="","",D17&amp;", "),IF(E17="","xxxx",TEXT(E17,"# ##0,-")),", ",IF(F17="","xxxx",TEXT(F17,"# ##0,-"))))</f>
        <v xml:space="preserve"> 27000: Summe, 5 061,-, 5 061,-</v>
      </c>
      <c r="E60" s="171"/>
      <c r="F60" s="171"/>
      <c r="G60" s="47"/>
      <c r="H60" s="47"/>
      <c r="I60" s="172"/>
      <c r="J60" s="47"/>
      <c r="K60" s="46" t="str">
        <f t="shared" si="6"/>
        <v>Summe</v>
      </c>
      <c r="L60" s="145"/>
      <c r="O60" s="143"/>
      <c r="P60" s="144"/>
      <c r="Q60" s="145"/>
      <c r="R60" s="145"/>
    </row>
    <row r="61" spans="1:18" s="115" customFormat="1" ht="12.75" hidden="1" customHeight="1" x14ac:dyDescent="0.25">
      <c r="A61" s="42">
        <v>21</v>
      </c>
      <c r="B61" s="167"/>
      <c r="C61" s="46" t="str">
        <f t="shared" si="0"/>
        <v xml:space="preserve"> 28000AB Gi</v>
      </c>
      <c r="D61" s="47" t="str">
        <f t="shared" ref="D61:D73" si="7">IF(OR($L$11="",AND(K13="",L13="")),"",CONCATENATE($L$11,": ",IF(H13="","",H13&amp;", "),IF(I13="","",I13&amp;", "),IF(J13="","",J13&amp;", "),IF(K13="","xxxx",TEXT(K13,"# ##0,-")),", ",IF(L13="","xxxx",TEXT(L13,"# ##0,-"))))</f>
        <v xml:space="preserve"> 28000: EB, 01.01., AB Giro (Bankguthaben), 30 709,-, xxxx</v>
      </c>
      <c r="E61" s="171"/>
      <c r="F61" s="171"/>
      <c r="G61" s="47"/>
      <c r="H61" s="47"/>
      <c r="I61" s="172"/>
      <c r="J61" s="47"/>
      <c r="K61" s="46" t="str">
        <f>IF(J13="","",MID(J13,1,5))</f>
        <v>AB Gi</v>
      </c>
      <c r="L61" s="145"/>
      <c r="O61" s="143"/>
      <c r="P61" s="144"/>
      <c r="Q61" s="145"/>
      <c r="R61" s="145"/>
    </row>
    <row r="62" spans="1:18" s="115" customFormat="1" ht="12.75" hidden="1" customHeight="1" x14ac:dyDescent="0.25">
      <c r="A62" s="42">
        <v>22</v>
      </c>
      <c r="B62" s="167"/>
      <c r="C62" s="46" t="str">
        <f t="shared" si="0"/>
        <v xml:space="preserve"> 28000Zahlu</v>
      </c>
      <c r="D62" s="47" t="str">
        <f t="shared" si="7"/>
        <v xml:space="preserve"> 28000: B1, 10.01., Zahlung MR-Rechnung Vorjahr, xxxx, 4 992,-</v>
      </c>
      <c r="E62" s="171"/>
      <c r="F62" s="171"/>
      <c r="G62" s="47"/>
      <c r="H62" s="47"/>
      <c r="I62" s="172"/>
      <c r="J62" s="47"/>
      <c r="K62" s="46" t="str">
        <f t="shared" ref="K62:K73" si="8">IF(J14="","",MID(J14,1,5))</f>
        <v>Zahlu</v>
      </c>
      <c r="L62" s="145"/>
      <c r="O62" s="143"/>
      <c r="P62" s="144"/>
      <c r="Q62" s="145"/>
      <c r="R62" s="145"/>
    </row>
    <row r="63" spans="1:18" s="115" customFormat="1" ht="12.75" hidden="1" customHeight="1" x14ac:dyDescent="0.25">
      <c r="A63" s="42">
        <v>23</v>
      </c>
      <c r="B63" s="167"/>
      <c r="C63" s="46" t="str">
        <f t="shared" si="0"/>
        <v xml:space="preserve"> 28000Treib</v>
      </c>
      <c r="D63" s="47" t="str">
        <f t="shared" si="7"/>
        <v xml:space="preserve"> 28000: B2, 15.02., Treibstoffkauf, xxxx, 432,-</v>
      </c>
      <c r="E63" s="171"/>
      <c r="F63" s="171"/>
      <c r="G63" s="47"/>
      <c r="H63" s="47"/>
      <c r="I63" s="172"/>
      <c r="J63" s="47"/>
      <c r="K63" s="46" t="str">
        <f t="shared" si="8"/>
        <v>Treib</v>
      </c>
      <c r="L63" s="145"/>
      <c r="O63" s="143"/>
      <c r="P63" s="144"/>
      <c r="Q63" s="145"/>
      <c r="R63" s="145"/>
    </row>
    <row r="64" spans="1:18" s="115" customFormat="1" ht="12.75" hidden="1" customHeight="1" x14ac:dyDescent="0.25">
      <c r="A64" s="42">
        <v>24</v>
      </c>
      <c r="B64" s="167"/>
      <c r="C64" s="46" t="str">
        <f t="shared" si="0"/>
        <v xml:space="preserve"> 28000TSV ü</v>
      </c>
      <c r="D64" s="47" t="str">
        <f t="shared" si="7"/>
        <v xml:space="preserve"> 28000: B3, 20.04., TSV überweist Vesteigerungsentgelt, 674,-, xxxx</v>
      </c>
      <c r="E64" s="171"/>
      <c r="F64" s="171"/>
      <c r="G64" s="47"/>
      <c r="H64" s="47"/>
      <c r="I64" s="172"/>
      <c r="J64" s="47"/>
      <c r="K64" s="46" t="str">
        <f t="shared" si="8"/>
        <v>TSV ü</v>
      </c>
      <c r="L64" s="145"/>
      <c r="O64" s="143"/>
      <c r="P64" s="144"/>
      <c r="Q64" s="145"/>
      <c r="R64" s="145"/>
    </row>
    <row r="65" spans="1:18" s="115" customFormat="1" ht="12.75" hidden="1" customHeight="1" x14ac:dyDescent="0.25">
      <c r="A65" s="42">
        <v>25</v>
      </c>
      <c r="B65" s="167"/>
      <c r="C65" s="46" t="str">
        <f t="shared" si="0"/>
        <v xml:space="preserve"> 28000Kauf </v>
      </c>
      <c r="D65" s="47" t="str">
        <f t="shared" si="7"/>
        <v xml:space="preserve"> 28000: B4, 09 06.., Kauf Kreiselzetter, xxxx, 13 032,-</v>
      </c>
      <c r="E65" s="171"/>
      <c r="F65" s="171"/>
      <c r="G65" s="47"/>
      <c r="H65" s="47"/>
      <c r="I65" s="172"/>
      <c r="J65" s="47"/>
      <c r="K65" s="46" t="str">
        <f t="shared" si="8"/>
        <v xml:space="preserve">Kauf </v>
      </c>
      <c r="L65" s="145"/>
      <c r="O65" s="143"/>
      <c r="P65" s="144"/>
      <c r="Q65" s="145"/>
      <c r="R65" s="145"/>
    </row>
    <row r="66" spans="1:18" s="115" customFormat="1" ht="12.75" hidden="1" customHeight="1" x14ac:dyDescent="0.25">
      <c r="A66" s="42">
        <v>26</v>
      </c>
      <c r="B66" s="167"/>
      <c r="C66" s="46" t="str">
        <f t="shared" si="0"/>
        <v xml:space="preserve"> 28000Wohnh</v>
      </c>
      <c r="D66" s="47" t="str">
        <f t="shared" si="7"/>
        <v xml:space="preserve"> 28000: B5, 02.08., Wohnhausumbau, xxxx, 10 793,-</v>
      </c>
      <c r="E66" s="171"/>
      <c r="F66" s="171"/>
      <c r="G66" s="47"/>
      <c r="H66" s="47"/>
      <c r="I66" s="172"/>
      <c r="J66" s="47"/>
      <c r="K66" s="46" t="str">
        <f t="shared" si="8"/>
        <v>Wohnh</v>
      </c>
      <c r="L66" s="145"/>
      <c r="O66" s="143"/>
      <c r="P66" s="144"/>
      <c r="Q66" s="145"/>
      <c r="R66" s="145"/>
    </row>
    <row r="67" spans="1:18" s="115" customFormat="1" ht="12.75" hidden="1" customHeight="1" x14ac:dyDescent="0.25">
      <c r="A67" s="42">
        <v>27</v>
      </c>
      <c r="B67" s="167"/>
      <c r="C67" s="46" t="str">
        <f t="shared" si="0"/>
        <v xml:space="preserve"> 28000Rückz</v>
      </c>
      <c r="D67" s="47" t="str">
        <f t="shared" si="7"/>
        <v xml:space="preserve"> 28000: B6, 08.09., Rückzahlung Darlehen, xxxx, 1 898,-</v>
      </c>
      <c r="E67" s="171"/>
      <c r="F67" s="171"/>
      <c r="G67" s="47"/>
      <c r="H67" s="47"/>
      <c r="I67" s="172"/>
      <c r="J67" s="47"/>
      <c r="K67" s="46" t="str">
        <f t="shared" si="8"/>
        <v>Rückz</v>
      </c>
      <c r="L67" s="145"/>
      <c r="O67" s="143"/>
      <c r="P67" s="144"/>
      <c r="Q67" s="145"/>
      <c r="R67" s="145"/>
    </row>
    <row r="68" spans="1:18" s="115" customFormat="1" ht="12.75" hidden="1" customHeight="1" x14ac:dyDescent="0.25">
      <c r="A68" s="42">
        <v>28</v>
      </c>
      <c r="B68" s="167"/>
      <c r="C68" s="46" t="str">
        <f t="shared" si="0"/>
        <v/>
      </c>
      <c r="D68" s="47" t="str">
        <f t="shared" si="7"/>
        <v/>
      </c>
      <c r="E68" s="171"/>
      <c r="F68" s="171"/>
      <c r="G68" s="47"/>
      <c r="H68" s="47"/>
      <c r="I68" s="172"/>
      <c r="J68" s="47"/>
      <c r="K68" s="46" t="str">
        <f t="shared" si="8"/>
        <v/>
      </c>
      <c r="L68" s="145"/>
      <c r="O68" s="143"/>
      <c r="P68" s="144"/>
      <c r="Q68" s="145"/>
      <c r="R68" s="145"/>
    </row>
    <row r="69" spans="1:18" s="115" customFormat="1" ht="12.75" hidden="1" customHeight="1" x14ac:dyDescent="0.25">
      <c r="A69" s="42">
        <v>29</v>
      </c>
      <c r="B69" s="167"/>
      <c r="C69" s="46" t="str">
        <f t="shared" si="0"/>
        <v/>
      </c>
      <c r="D69" s="47" t="str">
        <f t="shared" si="7"/>
        <v/>
      </c>
      <c r="E69" s="171"/>
      <c r="F69" s="171"/>
      <c r="G69" s="47"/>
      <c r="H69" s="47"/>
      <c r="I69" s="172"/>
      <c r="J69" s="47"/>
      <c r="K69" s="46" t="str">
        <f t="shared" si="8"/>
        <v/>
      </c>
      <c r="L69" s="145"/>
      <c r="O69" s="143"/>
      <c r="P69" s="144"/>
      <c r="Q69" s="145"/>
      <c r="R69" s="145"/>
    </row>
    <row r="70" spans="1:18" s="115" customFormat="1" ht="12.75" hidden="1" customHeight="1" x14ac:dyDescent="0.25">
      <c r="A70" s="42">
        <v>30</v>
      </c>
      <c r="B70" s="167"/>
      <c r="C70" s="46" t="str">
        <f t="shared" si="0"/>
        <v/>
      </c>
      <c r="D70" s="47" t="str">
        <f t="shared" si="7"/>
        <v/>
      </c>
      <c r="E70" s="171"/>
      <c r="F70" s="171"/>
      <c r="G70" s="47"/>
      <c r="H70" s="47"/>
      <c r="I70" s="172"/>
      <c r="J70" s="47"/>
      <c r="K70" s="46" t="str">
        <f t="shared" si="8"/>
        <v/>
      </c>
      <c r="L70" s="145"/>
      <c r="O70" s="143"/>
      <c r="P70" s="144"/>
      <c r="Q70" s="145"/>
      <c r="R70" s="145"/>
    </row>
    <row r="71" spans="1:18" s="115" customFormat="1" ht="12.75" hidden="1" customHeight="1" x14ac:dyDescent="0.25">
      <c r="A71" s="42">
        <v>31</v>
      </c>
      <c r="B71" s="167"/>
      <c r="C71" s="46" t="str">
        <f t="shared" si="0"/>
        <v/>
      </c>
      <c r="D71" s="47" t="str">
        <f t="shared" si="7"/>
        <v/>
      </c>
      <c r="E71" s="171"/>
      <c r="F71" s="171"/>
      <c r="G71" s="47"/>
      <c r="H71" s="47"/>
      <c r="I71" s="172"/>
      <c r="J71" s="47"/>
      <c r="K71" s="46" t="str">
        <f t="shared" si="8"/>
        <v/>
      </c>
      <c r="L71" s="145"/>
      <c r="O71" s="143"/>
      <c r="P71" s="144"/>
      <c r="Q71" s="145"/>
      <c r="R71" s="145"/>
    </row>
    <row r="72" spans="1:18" s="115" customFormat="1" ht="12.75" hidden="1" customHeight="1" x14ac:dyDescent="0.25">
      <c r="A72" s="42">
        <v>32</v>
      </c>
      <c r="B72" s="167"/>
      <c r="C72" s="46" t="str">
        <f t="shared" si="0"/>
        <v xml:space="preserve"> 28000SALDO</v>
      </c>
      <c r="D72" s="47" t="str">
        <f t="shared" si="7"/>
        <v xml:space="preserve"> 28000: AB, 31.12., SALDO, xxxx, 237,-</v>
      </c>
      <c r="E72" s="171"/>
      <c r="F72" s="171"/>
      <c r="G72" s="47"/>
      <c r="H72" s="47"/>
      <c r="I72" s="172"/>
      <c r="J72" s="47"/>
      <c r="K72" s="46" t="str">
        <f t="shared" si="8"/>
        <v>SALDO</v>
      </c>
      <c r="L72" s="145"/>
      <c r="O72" s="143"/>
      <c r="P72" s="144"/>
      <c r="Q72" s="145"/>
      <c r="R72" s="145"/>
    </row>
    <row r="73" spans="1:18" s="115" customFormat="1" ht="12.75" hidden="1" customHeight="1" x14ac:dyDescent="0.25">
      <c r="A73" s="42">
        <v>33</v>
      </c>
      <c r="B73" s="167"/>
      <c r="C73" s="46" t="str">
        <f t="shared" si="0"/>
        <v xml:space="preserve"> 28000Summe</v>
      </c>
      <c r="D73" s="47" t="str">
        <f t="shared" si="7"/>
        <v xml:space="preserve"> 28000: Summe, 31 383,-, 31 383,-</v>
      </c>
      <c r="E73" s="171"/>
      <c r="F73" s="171"/>
      <c r="G73" s="47"/>
      <c r="H73" s="47"/>
      <c r="I73" s="172"/>
      <c r="J73" s="47"/>
      <c r="K73" s="46" t="str">
        <f t="shared" si="8"/>
        <v>Summe</v>
      </c>
      <c r="L73" s="145"/>
      <c r="O73" s="143"/>
      <c r="P73" s="144"/>
      <c r="Q73" s="145"/>
      <c r="R73" s="145"/>
    </row>
    <row r="74" spans="1:18" s="115" customFormat="1" ht="12.75" hidden="1" customHeight="1" x14ac:dyDescent="0.25">
      <c r="A74" s="42">
        <v>34</v>
      </c>
      <c r="B74" s="167"/>
      <c r="C74" s="46" t="str">
        <f t="shared" si="0"/>
        <v xml:space="preserve"> 14020AB Vo</v>
      </c>
      <c r="D74" s="47" t="str">
        <f>IF(OR($R$11="",AND(Q13="",R13="")),"",CONCATENATE($R$11,": ",IF(N13="","",N13&amp;", "),IF(O13="","",O13&amp;", "),IF(P13="","",P13&amp;", "),IF(Q13="","xxxx",TEXT(Q13,"# ##0,-")),", ",IF(R13="","xxxx",TEXT(R13,"# ##0,-"))))</f>
        <v xml:space="preserve"> 14020: EB, 01.01., AB Vorräte selbsterz., 2 530,-, xxxx</v>
      </c>
      <c r="E74" s="171"/>
      <c r="F74" s="171"/>
      <c r="G74" s="47"/>
      <c r="H74" s="47"/>
      <c r="I74" s="172"/>
      <c r="J74" s="47"/>
      <c r="K74" s="46" t="str">
        <f>IF(P13="","",MID(P13,1,5))</f>
        <v>AB Vo</v>
      </c>
      <c r="L74" s="145"/>
      <c r="O74" s="143"/>
      <c r="P74" s="144"/>
      <c r="Q74" s="145"/>
      <c r="R74" s="145"/>
    </row>
    <row r="75" spans="1:18" s="115" customFormat="1" ht="12.75" hidden="1" customHeight="1" x14ac:dyDescent="0.25">
      <c r="A75" s="42">
        <v>35</v>
      </c>
      <c r="B75" s="167"/>
      <c r="C75" s="46" t="str">
        <f t="shared" si="0"/>
        <v xml:space="preserve"> 14020Minde</v>
      </c>
      <c r="D75" s="47" t="str">
        <f>IF(OR($R$11="",AND(Q14="",R14="")),"",CONCATENATE($R$11,": ",IF(N14="","",N14&amp;", "),IF(O14="","",O14&amp;", "),IF(P14="","",P14&amp;", "),IF(Q14="","xxxx",TEXT(Q14,"# ##0,-")),", ",IF(R14="","xxxx",TEXT(R14,"# ##0,-"))))</f>
        <v xml:space="preserve"> 14020: AB, 31.12., Minderwert se. Vorr. (Schafskäse), xxxx, 1 042,-</v>
      </c>
      <c r="E75" s="171"/>
      <c r="F75" s="171"/>
      <c r="G75" s="47"/>
      <c r="H75" s="47"/>
      <c r="I75" s="172"/>
      <c r="J75" s="47"/>
      <c r="K75" s="46" t="str">
        <f t="shared" ref="K75:K78" si="9">IF(P14="","",MID(P14,1,5))</f>
        <v>Minde</v>
      </c>
      <c r="L75" s="145"/>
      <c r="O75" s="143"/>
      <c r="P75" s="144"/>
      <c r="Q75" s="145"/>
      <c r="R75" s="145"/>
    </row>
    <row r="76" spans="1:18" s="115" customFormat="1" ht="12.75" hidden="1" customHeight="1" x14ac:dyDescent="0.25">
      <c r="A76" s="42">
        <v>36</v>
      </c>
      <c r="B76" s="167"/>
      <c r="C76" s="46" t="str">
        <f t="shared" si="0"/>
        <v/>
      </c>
      <c r="D76" s="47" t="str">
        <f>IF(OR($R$11="",AND(Q15="",R15="")),"",CONCATENATE($R$11,": ",IF(N15="","",N15&amp;", "),IF(O15="","",O15&amp;", "),IF(P15="","",P15&amp;", "),IF(Q15="","xxxx",TEXT(Q15,"# ##0,-")),", ",IF(R15="","xxxx",TEXT(R15,"# ##0,-"))))</f>
        <v/>
      </c>
      <c r="E76" s="171"/>
      <c r="F76" s="171"/>
      <c r="G76" s="47"/>
      <c r="H76" s="47"/>
      <c r="I76" s="172"/>
      <c r="J76" s="47"/>
      <c r="K76" s="46" t="str">
        <f t="shared" si="9"/>
        <v/>
      </c>
      <c r="L76" s="145"/>
      <c r="O76" s="143"/>
      <c r="P76" s="144"/>
      <c r="Q76" s="145"/>
      <c r="R76" s="145"/>
    </row>
    <row r="77" spans="1:18" s="115" customFormat="1" ht="12.75" hidden="1" customHeight="1" x14ac:dyDescent="0.25">
      <c r="A77" s="42">
        <v>37</v>
      </c>
      <c r="B77" s="167"/>
      <c r="C77" s="46" t="str">
        <f t="shared" si="0"/>
        <v xml:space="preserve"> 14020SALDO</v>
      </c>
      <c r="D77" s="47" t="str">
        <f>IF(OR($R$11="",AND(Q16="",R16="")),"",CONCATENATE($R$11,": ",IF(N16="","",N16&amp;", "),IF(O16="","",O16&amp;", "),IF(P16="","",P16&amp;", "),IF(Q16="","xxxx",TEXT(Q16,"# ##0,-")),", ",IF(R16="","xxxx",TEXT(R16,"# ##0,-"))))</f>
        <v xml:space="preserve"> 14020: AB, 31.12., SALDO, xxxx, 1 488,-</v>
      </c>
      <c r="E77" s="171"/>
      <c r="F77" s="171"/>
      <c r="G77" s="47"/>
      <c r="H77" s="47"/>
      <c r="I77" s="172"/>
      <c r="J77" s="47"/>
      <c r="K77" s="46" t="str">
        <f t="shared" si="9"/>
        <v>SALDO</v>
      </c>
      <c r="L77" s="145"/>
      <c r="O77" s="143"/>
      <c r="P77" s="144"/>
      <c r="Q77" s="145"/>
      <c r="R77" s="145"/>
    </row>
    <row r="78" spans="1:18" s="115" customFormat="1" ht="12.75" hidden="1" customHeight="1" x14ac:dyDescent="0.25">
      <c r="A78" s="42">
        <v>38</v>
      </c>
      <c r="B78" s="167"/>
      <c r="C78" s="46" t="str">
        <f t="shared" si="0"/>
        <v xml:space="preserve"> 14020Summe</v>
      </c>
      <c r="D78" s="47" t="str">
        <f>IF(OR($R$11="",AND(Q17="",R17="")),"",CONCATENATE($R$11,": ",IF(N17="","",N17&amp;", "),IF(O17="","",O17&amp;", "),IF(P17="","",P17&amp;", "),IF(Q17="","xxxx",TEXT(Q17,"# ##0,-")),", ",IF(R17="","xxxx",TEXT(R17,"# ##0,-"))))</f>
        <v xml:space="preserve"> 14020: Summe, 2 530,-, 2 530,-</v>
      </c>
      <c r="E78" s="171"/>
      <c r="F78" s="171"/>
      <c r="G78" s="47"/>
      <c r="H78" s="47"/>
      <c r="I78" s="172"/>
      <c r="J78" s="47"/>
      <c r="K78" s="46" t="str">
        <f t="shared" si="9"/>
        <v>Summe</v>
      </c>
      <c r="L78" s="145"/>
      <c r="O78" s="143"/>
      <c r="P78" s="144"/>
      <c r="Q78" s="145"/>
      <c r="R78" s="145"/>
    </row>
    <row r="79" spans="1:18" s="115" customFormat="1" ht="12.75" hidden="1" customHeight="1" x14ac:dyDescent="0.25">
      <c r="A79" s="42">
        <v>39</v>
      </c>
      <c r="B79" s="167"/>
      <c r="C79" s="46" t="str">
        <f t="shared" si="0"/>
        <v xml:space="preserve"> 200001Zucht</v>
      </c>
      <c r="D79" s="47" t="str">
        <f>IF(OR($F$19="",AND(E21="",F21="")),"",CONCATENATE($F$19,": ",IF(A21="","",A21&amp;", "),IF(C21="","",C21&amp;", "),IF(D21="","",D21&amp;", "),IF(E21="","xxxx",TEXT(E21,"# ##0,-")),", ",IF(F21="","xxxx",TEXT(F21,"# ##0,-"))))</f>
        <v xml:space="preserve"> 200001: A1, 21.03., Zuchtschafverkauf, 674,-, xxxx</v>
      </c>
      <c r="E79" s="171"/>
      <c r="F79" s="171"/>
      <c r="G79" s="47"/>
      <c r="H79" s="47"/>
      <c r="I79" s="172"/>
      <c r="J79" s="47"/>
      <c r="K79" s="46" t="str">
        <f>IF(D21="","",MID(D21,1,5))</f>
        <v>Zucht</v>
      </c>
      <c r="L79" s="145"/>
      <c r="O79" s="143"/>
      <c r="P79" s="144"/>
      <c r="Q79" s="145"/>
      <c r="R79" s="145"/>
    </row>
    <row r="80" spans="1:18" s="115" customFormat="1" ht="12.75" hidden="1" customHeight="1" x14ac:dyDescent="0.25">
      <c r="A80" s="42">
        <v>40</v>
      </c>
      <c r="B80" s="167"/>
      <c r="C80" s="46" t="str">
        <f t="shared" si="0"/>
        <v xml:space="preserve"> 200001TSV ü</v>
      </c>
      <c r="D80" s="47" t="str">
        <f>IF(OR($F$19="",AND(E22="",F22="")),"",CONCATENATE($F$19,": ",IF(A22="","",A22&amp;", "),IF(C22="","",C22&amp;", "),IF(D22="","",D22&amp;", "),IF(E22="","xxxx",TEXT(E22,"# ##0,-")),", ",IF(F22="","xxxx",TEXT(F22,"# ##0,-"))))</f>
        <v xml:space="preserve"> 200001: B3, 20.04., TSV überweist Vesteigerungsentgelt, xxxx, 674,-</v>
      </c>
      <c r="E80" s="171"/>
      <c r="F80" s="171"/>
      <c r="G80" s="47"/>
      <c r="H80" s="47"/>
      <c r="I80" s="172"/>
      <c r="J80" s="47"/>
      <c r="K80" s="46" t="str">
        <f t="shared" ref="K80:K83" si="10">IF(D22="","",MID(D22,1,5))</f>
        <v>TSV ü</v>
      </c>
      <c r="L80" s="145"/>
      <c r="O80" s="143"/>
      <c r="P80" s="144"/>
      <c r="Q80" s="145"/>
      <c r="R80" s="145"/>
    </row>
    <row r="81" spans="1:18" s="115" customFormat="1" ht="12.75" hidden="1" customHeight="1" x14ac:dyDescent="0.25">
      <c r="A81" s="42">
        <v>41</v>
      </c>
      <c r="B81" s="167"/>
      <c r="C81" s="46" t="str">
        <f t="shared" si="0"/>
        <v/>
      </c>
      <c r="D81" s="47" t="str">
        <f>IF(OR($F$19="",AND(E23="",F23="")),"",CONCATENATE($F$19,": ",IF(A23="","",A23&amp;", "),IF(C23="","",C23&amp;", "),IF(D23="","",D23&amp;", "),IF(E23="","xxxx",TEXT(E23,"# ##0,-")),", ",IF(F23="","xxxx",TEXT(F23,"# ##0,-"))))</f>
        <v/>
      </c>
      <c r="E81" s="171"/>
      <c r="F81" s="171"/>
      <c r="G81" s="47"/>
      <c r="H81" s="47"/>
      <c r="I81" s="172"/>
      <c r="J81" s="47"/>
      <c r="K81" s="46" t="str">
        <f t="shared" si="10"/>
        <v/>
      </c>
      <c r="L81" s="145"/>
      <c r="O81" s="143"/>
      <c r="P81" s="144"/>
      <c r="Q81" s="145"/>
      <c r="R81" s="145"/>
    </row>
    <row r="82" spans="1:18" s="115" customFormat="1" ht="12.75" hidden="1" customHeight="1" x14ac:dyDescent="0.25">
      <c r="A82" s="42">
        <v>42</v>
      </c>
      <c r="B82" s="167"/>
      <c r="C82" s="46" t="str">
        <f t="shared" si="0"/>
        <v/>
      </c>
      <c r="D82" s="47" t="str">
        <f>IF(OR($F$19="",AND(E24="",F24="")),"",CONCATENATE($F$19,": ",IF(A24="","",A24&amp;", "),IF(C24="","",C24&amp;", "),IF(D24="","",D24&amp;", "),IF(E24="","xxxx",TEXT(E24,"# ##0,-")),", ",IF(F24="","xxxx",TEXT(F24,"# ##0,-"))))</f>
        <v/>
      </c>
      <c r="E82" s="171"/>
      <c r="F82" s="171"/>
      <c r="G82" s="47"/>
      <c r="H82" s="47"/>
      <c r="I82" s="172"/>
      <c r="J82" s="47"/>
      <c r="K82" s="46" t="str">
        <f t="shared" si="10"/>
        <v>SALDO</v>
      </c>
      <c r="L82" s="145"/>
      <c r="O82" s="143"/>
      <c r="P82" s="144"/>
      <c r="Q82" s="145"/>
      <c r="R82" s="145"/>
    </row>
    <row r="83" spans="1:18" s="115" customFormat="1" ht="12.75" hidden="1" customHeight="1" x14ac:dyDescent="0.25">
      <c r="A83" s="42">
        <v>43</v>
      </c>
      <c r="B83" s="167"/>
      <c r="C83" s="46" t="str">
        <f t="shared" si="0"/>
        <v xml:space="preserve"> 200001Summe</v>
      </c>
      <c r="D83" s="47" t="str">
        <f>IF(OR($F$19="",AND(E25="",F25="")),"",CONCATENATE($F$19,": ",IF(A25="","",A25&amp;", "),IF(C25="","",C25&amp;", "),IF(D25="","",D25&amp;", "),IF(E25="","xxxx",TEXT(E25,"# ##0,-")),", ",IF(F25="","xxxx",TEXT(F25,"# ##0,-"))))</f>
        <v xml:space="preserve"> 200001: Summe, 674,-, 674,-</v>
      </c>
      <c r="E83" s="171"/>
      <c r="F83" s="171"/>
      <c r="G83" s="47"/>
      <c r="H83" s="47"/>
      <c r="I83" s="172"/>
      <c r="J83" s="47"/>
      <c r="K83" s="46" t="str">
        <f t="shared" si="10"/>
        <v>Summe</v>
      </c>
      <c r="L83" s="145"/>
      <c r="O83" s="143"/>
      <c r="P83" s="144"/>
      <c r="Q83" s="145"/>
      <c r="R83" s="145"/>
    </row>
    <row r="84" spans="1:18" s="115" customFormat="1" ht="12.75" hidden="1" customHeight="1" x14ac:dyDescent="0.25">
      <c r="A84" s="42">
        <v>44</v>
      </c>
      <c r="B84" s="167"/>
      <c r="C84" s="46" t="str">
        <f t="shared" si="0"/>
        <v xml:space="preserve"> 14300AB Sc</v>
      </c>
      <c r="D84" s="47" t="str">
        <f>IF(OR($R$19="",AND(Q21="",R21="")),"",CONCATENATE($R$19,": ",IF(N21="","",N21&amp;", "),IF(O21="","",O21&amp;", "),IF(P21="","",P21&amp;", "),IF(Q21="","xxxx",TEXT(Q21,"# ##0,-")),", ",IF(R21="","xxxx",TEXT(R21,"# ##0,-"))))</f>
        <v xml:space="preserve"> 14300: EB, 01.01., AB Schafe, 39 446,-, xxxx</v>
      </c>
      <c r="E84" s="171"/>
      <c r="F84" s="171"/>
      <c r="G84" s="47"/>
      <c r="H84" s="47"/>
      <c r="I84" s="172"/>
      <c r="J84" s="47"/>
      <c r="K84" s="46" t="str">
        <f>IF(P21="","",MID(P21,1,5))</f>
        <v>AB Sc</v>
      </c>
      <c r="L84" s="145"/>
      <c r="O84" s="143"/>
      <c r="P84" s="144"/>
      <c r="Q84" s="145"/>
      <c r="R84" s="145"/>
    </row>
    <row r="85" spans="1:18" s="115" customFormat="1" ht="12.75" hidden="1" customHeight="1" x14ac:dyDescent="0.25">
      <c r="A85" s="42">
        <v>45</v>
      </c>
      <c r="B85" s="167"/>
      <c r="C85" s="46" t="str">
        <f t="shared" si="0"/>
        <v xml:space="preserve"> 14300Mehrw</v>
      </c>
      <c r="D85" s="47" t="str">
        <f>IF(OR($R$19="",AND(Q22="",R22="")),"",CONCATENATE($R$19,": ",IF(N22="","",N22&amp;", "),IF(O22="","",O22&amp;", "),IF(P22="","",P22&amp;", "),IF(Q22="","xxxx",TEXT(Q22,"# ##0,-")),", ",IF(R22="","xxxx",TEXT(R22,"# ##0,-"))))</f>
        <v xml:space="preserve"> 14300: AB, 31.12., Mehrwert Schafe, 503,-, xxxx</v>
      </c>
      <c r="E85" s="171"/>
      <c r="F85" s="171"/>
      <c r="G85" s="47"/>
      <c r="H85" s="47"/>
      <c r="I85" s="172"/>
      <c r="J85" s="47"/>
      <c r="K85" s="46" t="str">
        <f t="shared" ref="K85:K88" si="11">IF(P22="","",MID(P22,1,5))</f>
        <v>Mehrw</v>
      </c>
      <c r="L85" s="145"/>
      <c r="O85" s="143"/>
      <c r="P85" s="144"/>
      <c r="Q85" s="145"/>
      <c r="R85" s="145"/>
    </row>
    <row r="86" spans="1:18" s="115" customFormat="1" ht="12.75" hidden="1" customHeight="1" x14ac:dyDescent="0.25">
      <c r="A86" s="42">
        <v>46</v>
      </c>
      <c r="B86" s="167"/>
      <c r="C86" s="46" t="str">
        <f t="shared" si="0"/>
        <v/>
      </c>
      <c r="D86" s="47" t="str">
        <f>IF(OR($R$19="",AND(Q23="",R23="")),"",CONCATENATE($R$19,": ",IF(N23="","",N23&amp;", "),IF(O23="","",O23&amp;", "),IF(P23="","",P23&amp;", "),IF(Q23="","xxxx",TEXT(Q23,"# ##0,-")),", ",IF(R23="","xxxx",TEXT(R23,"# ##0,-"))))</f>
        <v/>
      </c>
      <c r="E86" s="171"/>
      <c r="F86" s="171"/>
      <c r="G86" s="47"/>
      <c r="H86" s="47"/>
      <c r="I86" s="172"/>
      <c r="J86" s="47"/>
      <c r="K86" s="46" t="str">
        <f t="shared" si="11"/>
        <v/>
      </c>
      <c r="L86" s="145"/>
      <c r="O86" s="143"/>
      <c r="P86" s="144"/>
      <c r="Q86" s="145"/>
      <c r="R86" s="145"/>
    </row>
    <row r="87" spans="1:18" s="115" customFormat="1" ht="12.75" hidden="1" customHeight="1" x14ac:dyDescent="0.25">
      <c r="A87" s="42">
        <v>47</v>
      </c>
      <c r="B87" s="167"/>
      <c r="C87" s="46" t="str">
        <f t="shared" si="0"/>
        <v xml:space="preserve"> 14300SALDO</v>
      </c>
      <c r="D87" s="47" t="str">
        <f>IF(OR($R$19="",AND(Q24="",R24="")),"",CONCATENATE($R$19,": ",IF(N24="","",N24&amp;", "),IF(O24="","",O24&amp;", "),IF(P24="","",P24&amp;", "),IF(Q24="","xxxx",TEXT(Q24,"# ##0,-")),", ",IF(R24="","xxxx",TEXT(R24,"# ##0,-"))))</f>
        <v xml:space="preserve"> 14300: AB, 31.12., SALDO, xxxx, 39 949,-</v>
      </c>
      <c r="E87" s="171"/>
      <c r="F87" s="171"/>
      <c r="G87" s="47"/>
      <c r="H87" s="47"/>
      <c r="I87" s="172"/>
      <c r="J87" s="47"/>
      <c r="K87" s="46" t="str">
        <f t="shared" si="11"/>
        <v>SALDO</v>
      </c>
      <c r="L87" s="145"/>
      <c r="O87" s="143"/>
      <c r="P87" s="144"/>
      <c r="Q87" s="145"/>
      <c r="R87" s="145"/>
    </row>
    <row r="88" spans="1:18" s="115" customFormat="1" ht="12.75" hidden="1" customHeight="1" x14ac:dyDescent="0.25">
      <c r="A88" s="42">
        <v>48</v>
      </c>
      <c r="B88" s="167"/>
      <c r="C88" s="46" t="str">
        <f t="shared" si="0"/>
        <v xml:space="preserve"> 14300Summe</v>
      </c>
      <c r="D88" s="47" t="str">
        <f>IF(OR($R$19="",AND(Q25="",R25="")),"",CONCATENATE($R$19,": ",IF(N25="","",N25&amp;", "),IF(O25="","",O25&amp;", "),IF(P25="","",P25&amp;", "),IF(Q25="","xxxx",TEXT(Q25,"# ##0,-")),", ",IF(R25="","xxxx",TEXT(R25,"# ##0,-"))))</f>
        <v xml:space="preserve"> 14300: Summe, 39 949,-, 39 949,-</v>
      </c>
      <c r="E88" s="171"/>
      <c r="F88" s="171"/>
      <c r="G88" s="47"/>
      <c r="H88" s="47"/>
      <c r="I88" s="172"/>
      <c r="J88" s="47"/>
      <c r="K88" s="46" t="str">
        <f t="shared" si="11"/>
        <v>Summe</v>
      </c>
      <c r="L88" s="145"/>
      <c r="O88" s="143"/>
      <c r="P88" s="144"/>
      <c r="Q88" s="145"/>
      <c r="R88" s="145"/>
    </row>
    <row r="89" spans="1:18" s="115" customFormat="1" ht="12.75" hidden="1" customHeight="1" x14ac:dyDescent="0.25">
      <c r="A89" s="42">
        <v>49</v>
      </c>
      <c r="B89" s="167"/>
      <c r="C89" s="46" t="str">
        <f t="shared" si="0"/>
        <v xml:space="preserve"> 200002AB Fo</v>
      </c>
      <c r="D89" s="47" t="str">
        <f>IF(OR($F$27="",AND(E29="",F29="")),"",CONCATENATE($F$27,": ",IF(A29="","",A29&amp;", "),IF(C29="","",C29&amp;", "),IF(D29="","",D29&amp;", "),IF(E29="","xxxx",TEXT(E29,"# ##0,-")),", ",IF(F29="","xxxx",TEXT(F29,"# ##0,-"))))</f>
        <v xml:space="preserve"> 200002: EB, 01.01., AB Forderungen
Metzger Müller, 968,-, xxxx</v>
      </c>
      <c r="E89" s="171"/>
      <c r="F89" s="171"/>
      <c r="G89" s="47"/>
      <c r="H89" s="47"/>
      <c r="I89" s="172"/>
      <c r="J89" s="47"/>
      <c r="K89" s="46" t="str">
        <f>IF(D29="","",MID(D29,1,5))</f>
        <v>AB Fo</v>
      </c>
      <c r="L89" s="145"/>
      <c r="O89" s="143"/>
      <c r="P89" s="144"/>
      <c r="Q89" s="145"/>
      <c r="R89" s="145"/>
    </row>
    <row r="90" spans="1:18" s="115" customFormat="1" ht="12.75" hidden="1" customHeight="1" x14ac:dyDescent="0.25">
      <c r="A90" s="42">
        <v>50</v>
      </c>
      <c r="B90" s="167"/>
      <c r="C90" s="46" t="str">
        <f t="shared" si="0"/>
        <v xml:space="preserve"> 200002Metzg</v>
      </c>
      <c r="D90" s="47" t="str">
        <f>IF(OR($F$27="",AND(E30="",F30="")),"",CONCATENATE($F$27,": ",IF(A30="","",A30&amp;", "),IF(C30="","",C30&amp;", "),IF(D30="","",D30&amp;", "),IF(E30="","xxxx",TEXT(E30,"# ##0,-")),", ",IF(F30="","xxxx",TEXT(F30,"# ##0,-"))))</f>
        <v xml:space="preserve"> 200002: K1, 07.01., Metzger Müller zahlt Rechnung aus Vorjahr, xxxx, 968,-</v>
      </c>
      <c r="E90" s="171"/>
      <c r="F90" s="171"/>
      <c r="G90" s="47"/>
      <c r="H90" s="47"/>
      <c r="I90" s="172"/>
      <c r="J90" s="47"/>
      <c r="K90" s="46" t="str">
        <f t="shared" ref="K90:K93" si="12">IF(D30="","",MID(D30,1,5))</f>
        <v>Metzg</v>
      </c>
      <c r="L90" s="145"/>
      <c r="O90" s="143"/>
      <c r="P90" s="144"/>
      <c r="Q90" s="145"/>
      <c r="R90" s="145"/>
    </row>
    <row r="91" spans="1:18" s="115" customFormat="1" ht="12.75" hidden="1" customHeight="1" x14ac:dyDescent="0.25">
      <c r="A91" s="42">
        <v>51</v>
      </c>
      <c r="B91" s="167"/>
      <c r="C91" s="46" t="str">
        <f t="shared" si="0"/>
        <v/>
      </c>
      <c r="D91" s="47" t="str">
        <f>IF(OR($F$27="",AND(E31="",F31="")),"",CONCATENATE($F$27,": ",IF(A31="","",A31&amp;", "),IF(C31="","",C31&amp;", "),IF(D31="","",D31&amp;", "),IF(E31="","xxxx",TEXT(E31,"# ##0,-")),", ",IF(F31="","xxxx",TEXT(F31,"# ##0,-"))))</f>
        <v/>
      </c>
      <c r="E91" s="171"/>
      <c r="F91" s="171"/>
      <c r="G91" s="47"/>
      <c r="H91" s="47"/>
      <c r="I91" s="172"/>
      <c r="J91" s="47"/>
      <c r="K91" s="46" t="str">
        <f t="shared" si="12"/>
        <v/>
      </c>
      <c r="L91" s="145"/>
      <c r="O91" s="143"/>
      <c r="P91" s="144"/>
      <c r="Q91" s="145"/>
      <c r="R91" s="145"/>
    </row>
    <row r="92" spans="1:18" s="115" customFormat="1" ht="12.75" hidden="1" customHeight="1" x14ac:dyDescent="0.25">
      <c r="A92" s="42">
        <v>52</v>
      </c>
      <c r="B92" s="167"/>
      <c r="C92" s="46" t="str">
        <f t="shared" si="0"/>
        <v/>
      </c>
      <c r="D92" s="47" t="str">
        <f>IF(OR($F$27="",AND(E32="",F32="")),"",CONCATENATE($F$27,": ",IF(A32="","",A32&amp;", "),IF(C32="","",C32&amp;", "),IF(D32="","",D32&amp;", "),IF(E32="","xxxx",TEXT(E32,"# ##0,-")),", ",IF(F32="","xxxx",TEXT(F32,"# ##0,-"))))</f>
        <v/>
      </c>
      <c r="E92" s="171"/>
      <c r="F92" s="171"/>
      <c r="G92" s="47"/>
      <c r="H92" s="47"/>
      <c r="I92" s="172"/>
      <c r="J92" s="47"/>
      <c r="K92" s="46" t="str">
        <f t="shared" si="12"/>
        <v>SALDO</v>
      </c>
      <c r="L92" s="145"/>
      <c r="O92" s="143"/>
      <c r="P92" s="144"/>
      <c r="Q92" s="145"/>
      <c r="R92" s="145"/>
    </row>
    <row r="93" spans="1:18" s="115" customFormat="1" ht="12.75" hidden="1" customHeight="1" x14ac:dyDescent="0.25">
      <c r="A93" s="42">
        <v>53</v>
      </c>
      <c r="B93" s="167"/>
      <c r="C93" s="46" t="str">
        <f t="shared" si="0"/>
        <v xml:space="preserve"> 200002Summe</v>
      </c>
      <c r="D93" s="47" t="str">
        <f>IF(OR($F$27="",AND(E33="",F33="")),"",CONCATENATE($F$27,": ",IF(A33="","",A33&amp;", "),IF(C33="","",C33&amp;", "),IF(D33="","",D33&amp;", "),IF(E33="","xxxx",TEXT(E33,"# ##0,-")),", ",IF(F33="","xxxx",TEXT(F33,"# ##0,-"))))</f>
        <v xml:space="preserve"> 200002: Summe, 968,-, 968,-</v>
      </c>
      <c r="E93" s="171"/>
      <c r="F93" s="171"/>
      <c r="G93" s="47"/>
      <c r="H93" s="47"/>
      <c r="I93" s="172"/>
      <c r="J93" s="47"/>
      <c r="K93" s="46" t="str">
        <f t="shared" si="12"/>
        <v>Summe</v>
      </c>
      <c r="L93" s="145"/>
      <c r="O93" s="143"/>
      <c r="P93" s="144"/>
      <c r="Q93" s="145"/>
      <c r="R93" s="145"/>
    </row>
    <row r="94" spans="1:18" s="115" customFormat="1" ht="12.75" hidden="1" customHeight="1" x14ac:dyDescent="0.25">
      <c r="A94" s="42">
        <v>54</v>
      </c>
      <c r="B94" s="167"/>
      <c r="C94" s="46" t="str">
        <f t="shared" si="0"/>
        <v xml:space="preserve"> 31510AB Da</v>
      </c>
      <c r="D94" s="47" t="str">
        <f>IF(OR($L$27="",AND(K29="",L29="")),"",CONCATENATE($L$27,": ",IF(H29="","",H29&amp;", "),IF(I29="","",I29&amp;", "),IF(J29="","",J29&amp;", "),IF(K29="","xxxx",TEXT(K29,"# ##0,-")),", ",IF(L29="","xxxx",TEXT(L29,"# ##0,-"))))</f>
        <v xml:space="preserve"> 31510: EB, 01.01., AB Darlehen, xxxx, 9 303,-</v>
      </c>
      <c r="E94" s="171"/>
      <c r="F94" s="171"/>
      <c r="G94" s="47"/>
      <c r="H94" s="47"/>
      <c r="I94" s="172"/>
      <c r="J94" s="47"/>
      <c r="K94" s="46" t="str">
        <f>IF(J29="","",MID(J29,1,5))</f>
        <v>AB Da</v>
      </c>
      <c r="L94" s="145"/>
      <c r="O94" s="143"/>
      <c r="P94" s="144"/>
      <c r="Q94" s="145"/>
      <c r="R94" s="145"/>
    </row>
    <row r="95" spans="1:18" s="115" customFormat="1" ht="12.75" hidden="1" customHeight="1" x14ac:dyDescent="0.25">
      <c r="A95" s="42">
        <v>55</v>
      </c>
      <c r="B95" s="167"/>
      <c r="C95" s="46" t="str">
        <f t="shared" si="0"/>
        <v xml:space="preserve"> 31510Darl.</v>
      </c>
      <c r="D95" s="47" t="str">
        <f>IF(OR($L$27="",AND(K30="",L30="")),"",CONCATENATE($L$27,": ",IF(H30="","",H30&amp;", "),IF(I30="","",I30&amp;", "),IF(J30="","",J30&amp;", "),IF(K30="","xxxx",TEXT(K30,"# ##0,-")),", ",IF(L30="","xxxx",TEXT(L30,"# ##0,-"))))</f>
        <v xml:space="preserve"> 31510: B6, 08.09., Darl.: Tilgung , 1 340,-, xxxx</v>
      </c>
      <c r="E95" s="171"/>
      <c r="F95" s="171"/>
      <c r="G95" s="47"/>
      <c r="H95" s="47"/>
      <c r="I95" s="172"/>
      <c r="J95" s="47"/>
      <c r="K95" s="46" t="str">
        <f t="shared" ref="K95:K98" si="13">IF(J30="","",MID(J30,1,5))</f>
        <v>Darl.</v>
      </c>
      <c r="L95" s="145"/>
      <c r="O95" s="143"/>
      <c r="P95" s="144"/>
      <c r="Q95" s="145"/>
      <c r="R95" s="145"/>
    </row>
    <row r="96" spans="1:18" s="115" customFormat="1" ht="12.75" hidden="1" customHeight="1" x14ac:dyDescent="0.25">
      <c r="A96" s="42">
        <v>56</v>
      </c>
      <c r="B96" s="167"/>
      <c r="C96" s="46" t="str">
        <f t="shared" si="0"/>
        <v/>
      </c>
      <c r="D96" s="47" t="str">
        <f>IF(OR($L$27="",AND(K31="",L31="")),"",CONCATENATE($L$27,": ",IF(H31="","",H31&amp;", "),IF(I31="","",I31&amp;", "),IF(J31="","",J31&amp;", "),IF(K31="","xxxx",TEXT(K31,"# ##0,-")),", ",IF(L31="","xxxx",TEXT(L31,"# ##0,-"))))</f>
        <v/>
      </c>
      <c r="E96" s="171"/>
      <c r="F96" s="171"/>
      <c r="G96" s="47"/>
      <c r="H96" s="47"/>
      <c r="I96" s="172"/>
      <c r="J96" s="47"/>
      <c r="K96" s="46" t="str">
        <f t="shared" si="13"/>
        <v/>
      </c>
      <c r="L96" s="145"/>
      <c r="O96" s="143"/>
      <c r="P96" s="144"/>
      <c r="Q96" s="145"/>
      <c r="R96" s="145"/>
    </row>
    <row r="97" spans="1:18" s="115" customFormat="1" ht="12.75" hidden="1" customHeight="1" x14ac:dyDescent="0.25">
      <c r="A97" s="42">
        <v>57</v>
      </c>
      <c r="B97" s="167"/>
      <c r="C97" s="46" t="str">
        <f t="shared" si="0"/>
        <v xml:space="preserve"> 31510SALDO</v>
      </c>
      <c r="D97" s="47" t="str">
        <f>IF(OR($L$27="",AND(K32="",L32="")),"",CONCATENATE($L$27,": ",IF(H32="","",H32&amp;", "),IF(I32="","",I32&amp;", "),IF(J32="","",J32&amp;", "),IF(K32="","xxxx",TEXT(K32,"# ##0,-")),", ",IF(L32="","xxxx",TEXT(L32,"# ##0,-"))))</f>
        <v xml:space="preserve"> 31510: AB, 31.12., SALDO, 7 964,-, xxxx</v>
      </c>
      <c r="E97" s="171"/>
      <c r="F97" s="171"/>
      <c r="G97" s="47"/>
      <c r="H97" s="47"/>
      <c r="I97" s="172"/>
      <c r="J97" s="47"/>
      <c r="K97" s="46" t="str">
        <f t="shared" si="13"/>
        <v>SALDO</v>
      </c>
      <c r="L97" s="145"/>
      <c r="O97" s="143"/>
      <c r="P97" s="144"/>
      <c r="Q97" s="145"/>
      <c r="R97" s="145"/>
    </row>
    <row r="98" spans="1:18" s="115" customFormat="1" ht="12.75" hidden="1" customHeight="1" x14ac:dyDescent="0.25">
      <c r="A98" s="42">
        <v>58</v>
      </c>
      <c r="B98" s="167"/>
      <c r="C98" s="46" t="str">
        <f t="shared" si="0"/>
        <v xml:space="preserve"> 31510Summe</v>
      </c>
      <c r="D98" s="47" t="str">
        <f>IF(OR($L$27="",AND(K33="",L33="")),"",CONCATENATE($L$27,": ",IF(H33="","",H33&amp;", "),IF(I33="","",I33&amp;", "),IF(J33="","",J33&amp;", "),IF(K33="","xxxx",TEXT(K33,"# ##0,-")),", ",IF(L33="","xxxx",TEXT(L33,"# ##0,-"))))</f>
        <v xml:space="preserve"> 31510: Summe, 9 303,-, 9 303,-</v>
      </c>
      <c r="E98" s="171"/>
      <c r="F98" s="171"/>
      <c r="G98" s="47"/>
      <c r="H98" s="47"/>
      <c r="I98" s="172"/>
      <c r="J98" s="47"/>
      <c r="K98" s="46" t="str">
        <f t="shared" si="13"/>
        <v>Summe</v>
      </c>
      <c r="L98" s="145"/>
      <c r="O98" s="143"/>
      <c r="P98" s="144"/>
      <c r="Q98" s="145"/>
      <c r="R98" s="145"/>
    </row>
    <row r="99" spans="1:18" s="115" customFormat="1" ht="12.75" hidden="1" customHeight="1" x14ac:dyDescent="0.25">
      <c r="A99" s="42">
        <v>59</v>
      </c>
      <c r="B99" s="167"/>
      <c r="C99" s="46" t="str">
        <f t="shared" si="0"/>
        <v xml:space="preserve"> 330001AB Ve</v>
      </c>
      <c r="D99" s="47" t="str">
        <f>IF(OR($R$27="",AND(Q29="",R29="")),"",CONCATENATE($R$27,": ",IF(N29="","",N29&amp;", "),IF(O29="","",O29&amp;", "),IF(P29="","",P29&amp;", "),IF(Q29="","xxxx",TEXT(Q29,"# ##0,-")),", ",IF(R29="","xxxx",TEXT(R29,"# ##0,-"))))</f>
        <v xml:space="preserve"> 330001: EB, 01.01., AB Verbindlichkeiten Maschinenring Imst, xxxx, 4 992,-</v>
      </c>
      <c r="E99" s="171"/>
      <c r="F99" s="171"/>
      <c r="G99" s="47"/>
      <c r="H99" s="47"/>
      <c r="I99" s="172"/>
      <c r="J99" s="47"/>
      <c r="K99" s="46" t="str">
        <f>IF(P29="","",MID(P29,1,5))</f>
        <v>AB Ve</v>
      </c>
      <c r="L99" s="145"/>
      <c r="O99" s="143"/>
      <c r="P99" s="144"/>
      <c r="Q99" s="145"/>
      <c r="R99" s="145"/>
    </row>
    <row r="100" spans="1:18" s="115" customFormat="1" ht="12.75" hidden="1" customHeight="1" x14ac:dyDescent="0.25">
      <c r="A100" s="42">
        <v>60</v>
      </c>
      <c r="B100" s="167"/>
      <c r="C100" s="46" t="str">
        <f t="shared" si="0"/>
        <v xml:space="preserve"> 330001Zahlu</v>
      </c>
      <c r="D100" s="47" t="str">
        <f>IF(OR($R$27="",AND(Q30="",R30="")),"",CONCATENATE($R$27,": ",IF(N30="","",N30&amp;", "),IF(O30="","",O30&amp;", "),IF(P30="","",P30&amp;", "),IF(Q30="","xxxx",TEXT(Q30,"# ##0,-")),", ",IF(R30="","xxxx",TEXT(R30,"# ##0,-"))))</f>
        <v xml:space="preserve"> 330001: B1, 10.01., Zahlung MR-Rechnung Vorjahr, 4 992,-, xxxx</v>
      </c>
      <c r="E100" s="171"/>
      <c r="F100" s="171"/>
      <c r="G100" s="47"/>
      <c r="H100" s="47"/>
      <c r="I100" s="172"/>
      <c r="J100" s="47"/>
      <c r="K100" s="46" t="str">
        <f t="shared" ref="K100:K103" si="14">IF(P30="","",MID(P30,1,5))</f>
        <v>Zahlu</v>
      </c>
      <c r="L100" s="145"/>
      <c r="O100" s="143"/>
      <c r="P100" s="144"/>
      <c r="Q100" s="145"/>
      <c r="R100" s="145"/>
    </row>
    <row r="101" spans="1:18" s="115" customFormat="1" ht="12.75" hidden="1" customHeight="1" x14ac:dyDescent="0.25">
      <c r="A101" s="42">
        <v>61</v>
      </c>
      <c r="B101" s="167"/>
      <c r="C101" s="46" t="str">
        <f t="shared" si="0"/>
        <v/>
      </c>
      <c r="D101" s="47" t="str">
        <f>IF(OR($R$27="",AND(Q31="",R31="")),"",CONCATENATE($R$27,": ",IF(N31="","",N31&amp;", "),IF(O31="","",O31&amp;", "),IF(P31="","",P31&amp;", "),IF(Q31="","xxxx",TEXT(Q31,"# ##0,-")),", ",IF(R31="","xxxx",TEXT(R31,"# ##0,-"))))</f>
        <v/>
      </c>
      <c r="E101" s="171"/>
      <c r="F101" s="171"/>
      <c r="G101" s="47"/>
      <c r="H101" s="47"/>
      <c r="I101" s="172"/>
      <c r="J101" s="47"/>
      <c r="K101" s="46" t="str">
        <f t="shared" si="14"/>
        <v/>
      </c>
      <c r="L101" s="145"/>
      <c r="O101" s="143"/>
      <c r="P101" s="144"/>
      <c r="Q101" s="145"/>
      <c r="R101" s="145"/>
    </row>
    <row r="102" spans="1:18" s="115" customFormat="1" ht="12.75" hidden="1" customHeight="1" x14ac:dyDescent="0.25">
      <c r="A102" s="42">
        <v>62</v>
      </c>
      <c r="B102" s="167"/>
      <c r="C102" s="46" t="str">
        <f t="shared" si="0"/>
        <v/>
      </c>
      <c r="D102" s="47" t="str">
        <f>IF(OR($R$27="",AND(Q32="",R32="")),"",CONCATENATE($R$27,": ",IF(N32="","",N32&amp;", "),IF(O32="","",O32&amp;", "),IF(P32="","",P32&amp;", "),IF(Q32="","xxxx",TEXT(Q32,"# ##0,-")),", ",IF(R32="","xxxx",TEXT(R32,"# ##0,-"))))</f>
        <v/>
      </c>
      <c r="E102" s="171"/>
      <c r="F102" s="171"/>
      <c r="G102" s="47"/>
      <c r="H102" s="47"/>
      <c r="I102" s="172"/>
      <c r="J102" s="47"/>
      <c r="K102" s="46" t="str">
        <f t="shared" si="14"/>
        <v>SALDO</v>
      </c>
      <c r="L102" s="145"/>
      <c r="O102" s="143"/>
      <c r="P102" s="144"/>
      <c r="Q102" s="145"/>
      <c r="R102" s="145"/>
    </row>
    <row r="103" spans="1:18" s="115" customFormat="1" ht="12.75" hidden="1" customHeight="1" x14ac:dyDescent="0.25">
      <c r="A103" s="42">
        <v>63</v>
      </c>
      <c r="B103" s="167"/>
      <c r="C103" s="46" t="str">
        <f t="shared" si="0"/>
        <v xml:space="preserve"> 330001Summe</v>
      </c>
      <c r="D103" s="47" t="str">
        <f>IF(OR($R$27="",AND(Q33="",R33="")),"",CONCATENATE($R$27,": ",IF(N33="","",N33&amp;", "),IF(O33="","",O33&amp;", "),IF(P33="","",P33&amp;", "),IF(Q33="","xxxx",TEXT(Q33,"# ##0,-")),", ",IF(R33="","xxxx",TEXT(R33,"# ##0,-"))))</f>
        <v xml:space="preserve"> 330001: Summe, 4 992,-, 4 992,-</v>
      </c>
      <c r="E103" s="171"/>
      <c r="F103" s="171"/>
      <c r="G103" s="47"/>
      <c r="H103" s="47"/>
      <c r="I103" s="172"/>
      <c r="J103" s="47"/>
      <c r="K103" s="46" t="str">
        <f t="shared" si="14"/>
        <v>Summe</v>
      </c>
      <c r="L103" s="145"/>
      <c r="O103" s="143"/>
      <c r="P103" s="144"/>
      <c r="Q103" s="145"/>
      <c r="R103" s="145"/>
    </row>
  </sheetData>
  <sheetProtection algorithmName="SHA-512" hashValue="VKYX7kHtHtFIZXtCIdVMa1MQ3GAxgEpVBnpim06VUEwVOZFD/OA98BIYKVhjFikMDRq/PFFMOUDCiOBawMMUSA==" saltValue="5Wpt3pBGtmZAlx732+3apQ==" spinCount="100000" sheet="1" objects="1" scenarios="1" selectLockedCells="1" selectUnlockedCells="1"/>
  <dataValidations count="4">
    <dataValidation type="list" allowBlank="1" showInputMessage="1" showErrorMessage="1" sqref="D5:D7 D13:D15 J5:J7 P5:P7 J13:J23 P13:P15 P21:P23 D21:D23 J29:J31 D29:D31 P29:P31" xr:uid="{00000000-0002-0000-0900-000000000000}">
      <formula1>B_Text</formula1>
    </dataValidation>
    <dataValidation type="list" allowBlank="1" showInputMessage="1" showErrorMessage="1" sqref="C5:C8 C13:C16 C21:C24 C29:C32 I5:I8 O5:O8 O13:O16 O21:O24 I13:I24 I29:I32 O29:O32" xr:uid="{00000000-0002-0000-0900-000001000000}">
      <formula1>Dat</formula1>
    </dataValidation>
    <dataValidation type="list" allowBlank="1" showInputMessage="1" showErrorMessage="1" sqref="A5:B8 A13:B16 A21:B24 A29:B32 H5:H8 H13:H24 H29:H32 N5:N8 N13:N16 N21:N24 N29:N32" xr:uid="{00000000-0002-0000-0900-000002000000}">
      <formula1>BNr</formula1>
    </dataValidation>
    <dataValidation type="list" allowBlank="1" showInputMessage="1" showErrorMessage="1" sqref="R11 R3 L27 L11 F11 F19 R27 R19 L3 F3 F27" xr:uid="{00000000-0002-0000-0900-000003000000}">
      <formula1>KTONR</formula1>
    </dataValidation>
  </dataValidations>
  <pageMargins left="0.39370078740157483" right="0.78740157480314965" top="0.59055118110236227" bottom="0.59055118110236227" header="0.39370078740157483" footer="0.31496062992125984"/>
  <pageSetup paperSize="9" scale="77" orientation="landscape" blackAndWhite="1" r:id="rId1"/>
  <headerFooter>
    <oddFooter>&amp;L&amp;"+,Fett"&amp;8Seite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27</vt:i4>
      </vt:variant>
    </vt:vector>
  </HeadingPairs>
  <TitlesOfParts>
    <vt:vector size="41" baseType="lpstr">
      <vt:lpstr>D-BF</vt:lpstr>
      <vt:lpstr>B-BF</vt:lpstr>
      <vt:lpstr>B-BK</vt:lpstr>
      <vt:lpstr>B-EK</vt:lpstr>
      <vt:lpstr>B-EAK</vt:lpstr>
      <vt:lpstr>B-Erfolg</vt:lpstr>
      <vt:lpstr>Korrektur</vt:lpstr>
      <vt:lpstr>H-BF</vt:lpstr>
      <vt:lpstr>H-BK</vt:lpstr>
      <vt:lpstr>H-EK</vt:lpstr>
      <vt:lpstr>H-EAK</vt:lpstr>
      <vt:lpstr>H-Erfolg</vt:lpstr>
      <vt:lpstr>Kontenplan</vt:lpstr>
      <vt:lpstr>KP LBG</vt:lpstr>
      <vt:lpstr>a</vt:lpstr>
      <vt:lpstr>B_BK</vt:lpstr>
      <vt:lpstr>B_EAK</vt:lpstr>
      <vt:lpstr>B_EK</vt:lpstr>
      <vt:lpstr>B_Text</vt:lpstr>
      <vt:lpstr>BNr</vt:lpstr>
      <vt:lpstr>Dat</vt:lpstr>
      <vt:lpstr>DB</vt:lpstr>
      <vt:lpstr>'B-BF'!Druckbereich</vt:lpstr>
      <vt:lpstr>'B-BK'!Druckbereich</vt:lpstr>
      <vt:lpstr>'B-EAK'!Druckbereich</vt:lpstr>
      <vt:lpstr>'B-EK'!Druckbereich</vt:lpstr>
      <vt:lpstr>'B-Erfolg'!Druckbereich</vt:lpstr>
      <vt:lpstr>'H-BF'!Druckbereich</vt:lpstr>
      <vt:lpstr>'H-BK'!Druckbereich</vt:lpstr>
      <vt:lpstr>'H-EAK'!Druckbereich</vt:lpstr>
      <vt:lpstr>'H-EK'!Druckbereich</vt:lpstr>
      <vt:lpstr>'H-Erfolg'!Druckbereich</vt:lpstr>
      <vt:lpstr>Kontenplan!Druckbereich</vt:lpstr>
      <vt:lpstr>Korrektur!Druckbereich</vt:lpstr>
      <vt:lpstr>Korrektur!Drucktitel</vt:lpstr>
      <vt:lpstr>Gruppen</vt:lpstr>
      <vt:lpstr>H_BK</vt:lpstr>
      <vt:lpstr>H_EAK</vt:lpstr>
      <vt:lpstr>H_EK</vt:lpstr>
      <vt:lpstr>KTONR</vt:lpstr>
      <vt:lpstr>KTOPL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wharasleben</dc:creator>
  <cp:lastModifiedBy>Harasleben Wolfgang</cp:lastModifiedBy>
  <cp:lastPrinted>2023-09-13T07:16:40Z</cp:lastPrinted>
  <dcterms:created xsi:type="dcterms:W3CDTF">2020-10-19T10:55:11Z</dcterms:created>
  <dcterms:modified xsi:type="dcterms:W3CDTF">2023-09-13T07:51:32Z</dcterms:modified>
</cp:coreProperties>
</file>